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elv\Documents\fietsen\fietsexcel\nederlandsexcel\"/>
    </mc:Choice>
  </mc:AlternateContent>
  <workbookProtection workbookPassword="CCFE" lockStructure="1"/>
  <bookViews>
    <workbookView xWindow="0" yWindow="0" windowWidth="16170" windowHeight="612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E12" i="1" l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D14" i="1" l="1"/>
  <c r="D13" i="1"/>
  <c r="D12" i="1"/>
  <c r="M7" i="1"/>
  <c r="H19" i="1" l="1"/>
  <c r="R77" i="1"/>
  <c r="Q77" i="1"/>
  <c r="O31" i="1"/>
  <c r="P52" i="1"/>
  <c r="H32" i="1"/>
  <c r="P63" i="1"/>
  <c r="R12" i="1"/>
  <c r="N45" i="1"/>
  <c r="N32" i="1"/>
  <c r="O45" i="1"/>
  <c r="P60" i="1"/>
  <c r="Q62" i="1"/>
  <c r="R56" i="1"/>
  <c r="N25" i="1"/>
  <c r="Q43" i="1"/>
  <c r="R79" i="1"/>
  <c r="H22" i="1"/>
  <c r="P68" i="1"/>
  <c r="R18" i="1"/>
  <c r="K33" i="1"/>
  <c r="I23" i="1"/>
  <c r="P42" i="1"/>
  <c r="O32" i="1"/>
  <c r="M42" i="1"/>
  <c r="N14" i="1"/>
  <c r="P13" i="1"/>
  <c r="Q86" i="1"/>
  <c r="Q78" i="1"/>
  <c r="G13" i="1"/>
  <c r="J24" i="1"/>
  <c r="N22" i="1"/>
  <c r="R60" i="1"/>
  <c r="R39" i="1"/>
  <c r="R81" i="1"/>
  <c r="E89" i="1"/>
  <c r="K39" i="1"/>
  <c r="M31" i="1"/>
  <c r="H27" i="1"/>
  <c r="K37" i="1"/>
  <c r="M32" i="1"/>
  <c r="R36" i="1"/>
  <c r="M12" i="1"/>
  <c r="P58" i="1"/>
  <c r="P31" i="1"/>
  <c r="Q68" i="1"/>
  <c r="L43" i="1"/>
  <c r="L39" i="1"/>
  <c r="R58" i="1"/>
  <c r="R74" i="1"/>
  <c r="O47" i="1"/>
  <c r="O51" i="1"/>
  <c r="Q39" i="1"/>
  <c r="O25" i="1"/>
  <c r="R86" i="1"/>
  <c r="L89" i="1"/>
  <c r="K38" i="1"/>
  <c r="L40" i="1"/>
  <c r="P44" i="1"/>
  <c r="J31" i="1"/>
  <c r="Q69" i="1"/>
  <c r="P12" i="1"/>
  <c r="P22" i="1"/>
  <c r="P70" i="1"/>
  <c r="I12" i="1"/>
  <c r="J25" i="1"/>
  <c r="L35" i="1"/>
  <c r="N34" i="1"/>
  <c r="R82" i="1"/>
  <c r="P66" i="1"/>
  <c r="K32" i="1"/>
  <c r="E31" i="1"/>
  <c r="M35" i="1"/>
  <c r="C22" i="1"/>
  <c r="O42" i="1"/>
  <c r="P50" i="1"/>
  <c r="Q53" i="1"/>
  <c r="P45" i="1"/>
  <c r="J34" i="1"/>
  <c r="L13" i="1"/>
  <c r="R47" i="1"/>
  <c r="J32" i="1"/>
  <c r="R13" i="1"/>
  <c r="N41" i="1"/>
  <c r="R59" i="1"/>
  <c r="P67" i="1"/>
  <c r="P32" i="1"/>
  <c r="P37" i="1"/>
  <c r="H23" i="1"/>
  <c r="R38" i="1"/>
  <c r="Q64" i="1"/>
  <c r="R34" i="1"/>
  <c r="M24" i="1"/>
  <c r="Q73" i="1"/>
  <c r="I31" i="1"/>
  <c r="Q85" i="1"/>
  <c r="Q49" i="1"/>
  <c r="P48" i="1"/>
  <c r="L25" i="1"/>
  <c r="G31" i="1"/>
  <c r="P64" i="1"/>
  <c r="Q23" i="1"/>
  <c r="Q82" i="1"/>
  <c r="L32" i="1"/>
  <c r="R69" i="1"/>
  <c r="P27" i="1"/>
  <c r="R23" i="1"/>
  <c r="P59" i="1"/>
  <c r="Q70" i="1"/>
  <c r="I33" i="1"/>
  <c r="L22" i="1"/>
  <c r="L28" i="1"/>
  <c r="O40" i="1"/>
  <c r="R35" i="1"/>
  <c r="I27" i="1"/>
  <c r="M22" i="1"/>
  <c r="R52" i="1"/>
  <c r="N12" i="1"/>
  <c r="P40" i="1"/>
  <c r="O43" i="1"/>
  <c r="Q22" i="1"/>
  <c r="P35" i="1"/>
  <c r="Q83" i="1"/>
  <c r="Q14" i="1"/>
  <c r="R37" i="1"/>
  <c r="N48" i="1"/>
  <c r="R66" i="1"/>
  <c r="M25" i="1"/>
  <c r="Q48" i="1"/>
  <c r="H14" i="1"/>
  <c r="Q28" i="1"/>
  <c r="Q34" i="1"/>
  <c r="M14" i="1"/>
  <c r="R51" i="1"/>
  <c r="H33" i="1"/>
  <c r="O38" i="1"/>
  <c r="N46" i="1"/>
  <c r="M36" i="1"/>
  <c r="R62" i="1"/>
  <c r="Q37" i="1"/>
  <c r="Q44" i="1"/>
  <c r="P25" i="1"/>
  <c r="N24" i="1"/>
  <c r="K22" i="1"/>
  <c r="R83" i="1"/>
  <c r="E14" i="1"/>
  <c r="N33" i="1"/>
  <c r="L42" i="1"/>
  <c r="Q33" i="1"/>
  <c r="P43" i="1"/>
  <c r="C28" i="1"/>
  <c r="L18" i="1"/>
  <c r="I14" i="1"/>
  <c r="Q66" i="1"/>
  <c r="G22" i="1"/>
  <c r="M41" i="1"/>
  <c r="Q61" i="1"/>
  <c r="F22" i="1"/>
  <c r="G12" i="1"/>
  <c r="N40" i="1"/>
  <c r="R75" i="1"/>
  <c r="Q57" i="1"/>
  <c r="K24" i="1"/>
  <c r="R28" i="1"/>
  <c r="P57" i="1"/>
  <c r="J12" i="1"/>
  <c r="Q72" i="1"/>
  <c r="R71" i="1"/>
  <c r="Q36" i="1"/>
  <c r="R67" i="1"/>
  <c r="R22" i="1"/>
  <c r="Q59" i="1"/>
  <c r="Q51" i="1"/>
  <c r="O35" i="1"/>
  <c r="L38" i="1"/>
  <c r="O48" i="1"/>
  <c r="O37" i="1"/>
  <c r="L41" i="1"/>
  <c r="F14" i="1"/>
  <c r="P71" i="1"/>
  <c r="N13" i="1"/>
  <c r="D89" i="1"/>
  <c r="G23" i="1"/>
  <c r="Q46" i="1"/>
  <c r="D22" i="1"/>
  <c r="K31" i="1"/>
  <c r="Q71" i="1"/>
  <c r="P24" i="1"/>
  <c r="R44" i="1"/>
  <c r="Q32" i="1"/>
  <c r="L31" i="1"/>
  <c r="P56" i="1"/>
  <c r="N42" i="1"/>
  <c r="K35" i="1"/>
  <c r="G32" i="1"/>
  <c r="E13" i="1"/>
  <c r="M34" i="1"/>
  <c r="J14" i="1"/>
  <c r="R31" i="1"/>
  <c r="R63" i="1"/>
  <c r="B22" i="1"/>
  <c r="O27" i="1"/>
  <c r="M39" i="1"/>
  <c r="O12" i="1"/>
  <c r="R50" i="1"/>
  <c r="Q47" i="1"/>
  <c r="I32" i="1"/>
  <c r="H31" i="1"/>
  <c r="K13" i="1"/>
  <c r="P51" i="1"/>
  <c r="Q76" i="1"/>
  <c r="N38" i="1"/>
  <c r="L36" i="1"/>
  <c r="H12" i="1"/>
  <c r="N37" i="1"/>
  <c r="D28" i="1"/>
  <c r="N23" i="1"/>
  <c r="R41" i="1"/>
  <c r="Q45" i="1"/>
  <c r="Q63" i="1"/>
  <c r="R85" i="1"/>
  <c r="K89" i="1"/>
  <c r="K18" i="1"/>
  <c r="R64" i="1"/>
  <c r="R61" i="1"/>
  <c r="R48" i="1"/>
  <c r="Q74" i="1"/>
  <c r="Q42" i="1"/>
  <c r="Q81" i="1"/>
  <c r="P41" i="1"/>
  <c r="O22" i="1"/>
  <c r="R43" i="1"/>
  <c r="R49" i="1"/>
  <c r="E22" i="1"/>
  <c r="O13" i="1"/>
  <c r="I22" i="1"/>
  <c r="K23" i="1"/>
  <c r="R53" i="1"/>
  <c r="O49" i="1"/>
  <c r="N47" i="1"/>
  <c r="L37" i="1"/>
  <c r="L23" i="1"/>
  <c r="R42" i="1"/>
  <c r="P34" i="1"/>
  <c r="Q25" i="1"/>
  <c r="P53" i="1"/>
  <c r="O44" i="1"/>
  <c r="Q67" i="1"/>
  <c r="L24" i="1"/>
  <c r="Q38" i="1"/>
  <c r="Q80" i="1"/>
  <c r="R80" i="1"/>
  <c r="I13" i="1"/>
  <c r="P39" i="1"/>
  <c r="M38" i="1"/>
  <c r="O36" i="1"/>
  <c r="L33" i="1"/>
  <c r="H13" i="1"/>
  <c r="P23" i="1"/>
  <c r="P62" i="1"/>
  <c r="O39" i="1"/>
  <c r="P46" i="1"/>
  <c r="Q50" i="1"/>
  <c r="M40" i="1"/>
  <c r="O53" i="1"/>
  <c r="N31" i="1"/>
  <c r="Q56" i="1"/>
  <c r="K28" i="1"/>
  <c r="O46" i="1"/>
  <c r="R14" i="1"/>
  <c r="F19" i="1"/>
  <c r="F12" i="1"/>
  <c r="D18" i="1"/>
  <c r="R33" i="1"/>
  <c r="M13" i="1"/>
  <c r="J33" i="1"/>
  <c r="Q84" i="1"/>
  <c r="P49" i="1"/>
  <c r="R57" i="1"/>
  <c r="Q40" i="1"/>
  <c r="E18" i="1"/>
  <c r="P65" i="1"/>
  <c r="K25" i="1"/>
  <c r="Q24" i="1"/>
  <c r="G27" i="1"/>
  <c r="R45" i="1"/>
  <c r="R54" i="1"/>
  <c r="F13" i="1"/>
  <c r="Q18" i="1"/>
  <c r="J35" i="1"/>
  <c r="P14" i="1"/>
  <c r="Q55" i="1"/>
  <c r="R70" i="1"/>
  <c r="O50" i="1"/>
  <c r="R76" i="1"/>
  <c r="Q35" i="1"/>
  <c r="P38" i="1"/>
  <c r="E28" i="1"/>
  <c r="O14" i="1"/>
  <c r="P36" i="1"/>
  <c r="K14" i="1"/>
  <c r="Q54" i="1"/>
  <c r="P72" i="1"/>
  <c r="Q60" i="1"/>
  <c r="J13" i="1"/>
  <c r="R55" i="1"/>
  <c r="N36" i="1"/>
  <c r="K34" i="1"/>
  <c r="M33" i="1"/>
  <c r="M23" i="1"/>
  <c r="M37" i="1"/>
  <c r="P69" i="1"/>
  <c r="R32" i="1"/>
  <c r="R68" i="1"/>
  <c r="R46" i="1"/>
  <c r="J23" i="1"/>
  <c r="G19" i="1"/>
  <c r="Q65" i="1"/>
  <c r="R78" i="1"/>
  <c r="R40" i="1"/>
  <c r="L12" i="1"/>
  <c r="P54" i="1"/>
  <c r="Q79" i="1"/>
  <c r="R84" i="1"/>
  <c r="J27" i="1"/>
  <c r="P33" i="1"/>
  <c r="L14" i="1"/>
  <c r="O33" i="1"/>
  <c r="Q12" i="1"/>
  <c r="Q13" i="1"/>
  <c r="G14" i="1"/>
  <c r="P61" i="1"/>
  <c r="R65" i="1"/>
  <c r="Q58" i="1"/>
  <c r="O24" i="1"/>
  <c r="J22" i="1"/>
  <c r="N43" i="1"/>
  <c r="P73" i="1"/>
  <c r="R24" i="1"/>
  <c r="N39" i="1"/>
  <c r="P55" i="1"/>
  <c r="K12" i="1"/>
  <c r="P47" i="1"/>
  <c r="N44" i="1"/>
  <c r="L34" i="1"/>
  <c r="R72" i="1"/>
  <c r="O34" i="1"/>
  <c r="N35" i="1"/>
  <c r="O23" i="1"/>
  <c r="M43" i="1"/>
  <c r="N27" i="1"/>
  <c r="O52" i="1"/>
  <c r="R25" i="1"/>
  <c r="R73" i="1"/>
  <c r="Q41" i="1"/>
  <c r="Q75" i="1"/>
  <c r="O41" i="1"/>
  <c r="F31" i="1"/>
  <c r="Q31" i="1"/>
  <c r="A22" i="1"/>
  <c r="Q52" i="1"/>
  <c r="K36" i="1"/>
</calcChain>
</file>

<file path=xl/sharedStrings.xml><?xml version="1.0" encoding="utf-8"?>
<sst xmlns="http://schemas.openxmlformats.org/spreadsheetml/2006/main" count="123" uniqueCount="101">
  <si>
    <t>Deze afstand wordt bepaald door de keuze van de band en de tandwielen voor en achter.</t>
  </si>
  <si>
    <t>_</t>
  </si>
  <si>
    <t>Tandwiel(en) ACHTER:</t>
  </si>
  <si>
    <t xml:space="preserve">Tandwiel(en) VOOR: </t>
  </si>
  <si>
    <t>Sachs Super seven/ SRAM 7-bak</t>
  </si>
  <si>
    <t>Sachs Torpedo 7-bak</t>
  </si>
  <si>
    <t>SRAM i 9-bak</t>
  </si>
  <si>
    <t>Sachs Torpedo 5-bak</t>
  </si>
  <si>
    <t>Sachs/ SRAM Spectro P 5-bak</t>
  </si>
  <si>
    <t>Shimano Nexus 4-bak</t>
  </si>
  <si>
    <t>Sachs Elan 12-bak</t>
  </si>
  <si>
    <t>Sturmey Archer  FW 4-bak</t>
  </si>
  <si>
    <t xml:space="preserve">F&amp;S Torpedo mod.25, mod.29 3-bak </t>
  </si>
  <si>
    <t>F&amp;S Universal  3-bak</t>
  </si>
  <si>
    <t>F&amp;S mod.53, mod.55  3-bak</t>
  </si>
  <si>
    <t>Shimano Inter 3-bak</t>
  </si>
  <si>
    <t>Sturmey Archer  FM 4-bak</t>
  </si>
  <si>
    <t xml:space="preserve"> </t>
  </si>
  <si>
    <t xml:space="preserve">Per wielomwenteling: </t>
  </si>
  <si>
    <t>Stumey-Archer 1902</t>
  </si>
  <si>
    <t>Sturmey-Archer</t>
  </si>
  <si>
    <t>Sturmey-Archer   AM</t>
  </si>
  <si>
    <t>Sturmey-Archer KS</t>
  </si>
  <si>
    <t>Door het inzakken van de achterband onder belasting, komt de afgelegde weg wat lager uit,</t>
  </si>
  <si>
    <t>Nuvinci 170/171</t>
  </si>
  <si>
    <t>Nuvinci 360/Harmony</t>
  </si>
  <si>
    <r>
      <rPr>
        <b/>
        <sz val="11"/>
        <color indexed="8"/>
        <rFont val="Calibri"/>
        <family val="2"/>
      </rPr>
      <t>Bij de traploze versnellingsnaven van Nuvinci kunnen we alleen een minimum en maximum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>aangeven.</t>
    </r>
  </si>
  <si>
    <t xml:space="preserve">   Speeddrive:</t>
  </si>
  <si>
    <t>High-speeddrive:</t>
  </si>
  <si>
    <t>Mountaindrive:</t>
  </si>
  <si>
    <t>Pinion 9XR</t>
  </si>
  <si>
    <t>Pinion 9CR</t>
  </si>
  <si>
    <t>Pinion 12</t>
  </si>
  <si>
    <t>Oudere trapasbakken zoals Rappa:</t>
  </si>
  <si>
    <t>Mutaped:</t>
  </si>
  <si>
    <t>Adler:</t>
  </si>
  <si>
    <t>Brennabor/Wanderer:</t>
  </si>
  <si>
    <r>
      <t xml:space="preserve">                       </t>
    </r>
    <r>
      <rPr>
        <b/>
        <sz val="11"/>
        <color indexed="8"/>
        <rFont val="Calibri"/>
        <family val="2"/>
      </rPr>
      <t>Bismarck</t>
    </r>
    <r>
      <rPr>
        <sz val="11"/>
        <color theme="1"/>
        <rFont val="Calibri"/>
        <family val="2"/>
        <scheme val="minor"/>
      </rPr>
      <t>:</t>
    </r>
  </si>
  <si>
    <t>max-   min</t>
  </si>
  <si>
    <t>max-</t>
  </si>
  <si>
    <t>min</t>
  </si>
  <si>
    <t>Shimano Nexus 5-bak</t>
  </si>
  <si>
    <t>dan we meetkundig berekenen. Dit is vooral afhankelijk van de luchtdruk in de band, het aantal</t>
  </si>
  <si>
    <t>kilo's dat op het wiel rust, en de nauwkeurigheid van de bandenmaat in de ETRTO weergave;</t>
  </si>
  <si>
    <t>Sachs/ SRAM T3</t>
  </si>
  <si>
    <t>F&amp;S Universal Torpedo 4-bak 1912</t>
  </si>
  <si>
    <t>F&amp;S Doppel Torpedo 1905-1950</t>
  </si>
  <si>
    <t>F&amp;S Duomatic, Automatic, SRAM Automatix</t>
  </si>
  <si>
    <t>Sturmey-Archer  T,TB, TBC, TBF, TBFC</t>
  </si>
  <si>
    <t>Sturmey-Archer  S2 1966</t>
  </si>
  <si>
    <t>Sturmey-Archer TC</t>
  </si>
  <si>
    <t>Sturmey-Archer  S2 2010</t>
  </si>
  <si>
    <t xml:space="preserve">   Van groot naar klein invullen.</t>
  </si>
  <si>
    <t>bij voorbeeld 23-622 ; de op de band gevonden getallen invullen in de oranje vakjes.</t>
  </si>
  <si>
    <t>Geef nu het aantal tanden op de voorbladen van groot naar klein, te beginnen bij het oranje vak.</t>
  </si>
  <si>
    <t>Geef nu het aantal tanden op de achternaaf van klein naar groot, te beginnen bij het oranje vak.</t>
  </si>
  <si>
    <t xml:space="preserve">           Bandenmaat:</t>
  </si>
  <si>
    <t>DE AFGELEGDE WEG PER OMWENTELING VAN DE TRAPAS</t>
  </si>
  <si>
    <t xml:space="preserve">De trapasbakken van Pinion zijn er met 18, 12, en 9 versnellingen. De tanden voor (24 tot 30) verschillen  </t>
  </si>
  <si>
    <t>Sturmey Archer  AF, FC 4-bak</t>
  </si>
  <si>
    <t>SRAM G9-bak</t>
  </si>
  <si>
    <t>SRAM G8-bak</t>
  </si>
  <si>
    <t>Bendix redband/yellowband</t>
  </si>
  <si>
    <t>Bendix blueband</t>
  </si>
  <si>
    <t>Shimano Alfine 11-bak</t>
  </si>
  <si>
    <t>Shimano Alfine 8-bak</t>
  </si>
  <si>
    <t>Shimano Nexus 7-bak</t>
  </si>
  <si>
    <t>Shimano 333, F, FA, G</t>
  </si>
  <si>
    <t>Sturmey-Archer  SW</t>
  </si>
  <si>
    <t>weinig met achter (21 tot 26). Voor de 18-bak geldt:</t>
  </si>
  <si>
    <t xml:space="preserve">Sturmey-Archer  AR , AC </t>
  </si>
  <si>
    <t>Sturmey Archer XRF 8, XRD8, XRK8, XRR8</t>
  </si>
  <si>
    <t>Sturmey Archer  Sprinter  7, XR7, AT7, XRD7</t>
  </si>
  <si>
    <t>Sturmey-Archer XRF8W, XRD8W, XRK8W</t>
  </si>
  <si>
    <t>Sturmey Archer S5, S5.1, S5-2, 5-Star, Sprinter 5, XRF5, SRC5</t>
  </si>
  <si>
    <t>Sturmey-Archer SRF5W, XRF5W, S5CW, SEC5W</t>
  </si>
  <si>
    <t>Schlumpf  FSU trapas-voornaafcombinatie 2012</t>
  </si>
  <si>
    <t>Crypto  trapas-voornaafcombinatie 1878</t>
  </si>
  <si>
    <r>
      <t>Sturmey-Archer AW-kopie: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Brampton, Hercules, NK, Steyr, Suntour</t>
    </r>
  </si>
  <si>
    <t>Sturmey-Archer  A, C, F, FX, FN, N, V, X, kopie: BSA</t>
  </si>
  <si>
    <t xml:space="preserve">AW, K, KB,KT,KBC,KTC, AG,AB, AB/C, AB3, AT3, AWB  </t>
  </si>
  <si>
    <t>Sturmey-Archer  voor driewieler: TS-RC3, TS-RF3</t>
  </si>
  <si>
    <t>Sturmey-Archer S3X (fixed)</t>
  </si>
  <si>
    <t>Sturmey-Archer ASC (fixed)</t>
  </si>
  <si>
    <t>Sturmey-Archer  KSW</t>
  </si>
  <si>
    <t>Shimano AB-100 Automatic</t>
  </si>
  <si>
    <t xml:space="preserve"> meter</t>
  </si>
  <si>
    <t xml:space="preserve">                                                                        TRAPAS VERSNELLINGSBAKKEN                                                                              </t>
  </si>
  <si>
    <t xml:space="preserve">                       VERSNELLINGSNAVEN NAAR AFLOPEND AANTAL VERSNELLINGEN                          </t>
  </si>
  <si>
    <t>Rohloff 14-bak</t>
  </si>
  <si>
    <t xml:space="preserve">           "  -     "           vervolg: SAB, S3B, SBR, X-RD3, RX-RD3, XL-RD3, CS-RF3, TS-RC3</t>
  </si>
  <si>
    <t xml:space="preserve">De Efneo heeft een 3-bak : </t>
  </si>
  <si>
    <t>www.velofilie.nl</t>
  </si>
  <si>
    <t>De trapasbakken van Schlumpf en Efneo worden meestal in combinatie met een derailleur gebruikt:</t>
  </si>
  <si>
    <t>Epicyclische bak gecombineerd met derailleur: Schlumpf, Efneo or Classified, Sachs Orbit, Spectro 3X7 .</t>
  </si>
  <si>
    <t>Kopieer de waarden in de tabel naar de oranje blokken hieronder.</t>
  </si>
  <si>
    <t xml:space="preserve">  --------------------------------------GECOMBINEERDE VERSNELLINGEN-----------------------------------------</t>
  </si>
  <si>
    <r>
      <t xml:space="preserve">Classified Wireless   </t>
    </r>
    <r>
      <rPr>
        <b/>
        <sz val="11"/>
        <color theme="1"/>
        <rFont val="Calibri"/>
        <family val="2"/>
        <scheme val="minor"/>
      </rPr>
      <t xml:space="preserve"> COMBI</t>
    </r>
  </si>
  <si>
    <r>
      <t xml:space="preserve">Sachs Orbit   </t>
    </r>
    <r>
      <rPr>
        <b/>
        <sz val="11"/>
        <color theme="1"/>
        <rFont val="Calibri"/>
        <family val="2"/>
        <scheme val="minor"/>
      </rPr>
      <t>COMBI</t>
    </r>
  </si>
  <si>
    <r>
      <t xml:space="preserve">F&amp;S 415, 515, Sachs H3102 enz, H21101 enz. , SRAM Spectro  i-3, T3, 3X7 </t>
    </r>
    <r>
      <rPr>
        <b/>
        <sz val="11"/>
        <color theme="1"/>
        <rFont val="Calibri"/>
        <family val="2"/>
        <scheme val="minor"/>
      </rPr>
      <t>COMBI</t>
    </r>
  </si>
  <si>
    <r>
      <t xml:space="preserve"> </t>
    </r>
    <r>
      <rPr>
        <b/>
        <sz val="11"/>
        <color theme="1"/>
        <rFont val="Calibri"/>
        <family val="2"/>
        <scheme val="minor"/>
      </rPr>
      <t>COMBI</t>
    </r>
    <r>
      <rPr>
        <sz val="11"/>
        <color theme="1"/>
        <rFont val="Calibri"/>
        <family val="2"/>
        <scheme val="minor"/>
      </rPr>
      <t xml:space="preserve"> met derailleur!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</si>
</sst>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2" fontId="5" fillId="2" borderId="1" xfId="0" applyNumberFormat="1" applyFont="1" applyFill="1" applyBorder="1"/>
    <xf numFmtId="2" fontId="5" fillId="3" borderId="1" xfId="0" applyNumberFormat="1" applyFont="1" applyFill="1" applyBorder="1"/>
    <xf numFmtId="0" fontId="0" fillId="3" borderId="0" xfId="0" applyFill="1"/>
    <xf numFmtId="2" fontId="5" fillId="2" borderId="0" xfId="0" applyNumberFormat="1" applyFont="1" applyFill="1"/>
    <xf numFmtId="2" fontId="5" fillId="2" borderId="2" xfId="0" applyNumberFormat="1" applyFont="1" applyFill="1" applyBorder="1"/>
    <xf numFmtId="0" fontId="5" fillId="3" borderId="0" xfId="0" applyFont="1" applyFill="1"/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5" fillId="3" borderId="2" xfId="0" applyNumberFormat="1" applyFont="1" applyFill="1" applyBorder="1"/>
    <xf numFmtId="0" fontId="5" fillId="2" borderId="1" xfId="0" applyFont="1" applyFill="1" applyBorder="1"/>
    <xf numFmtId="0" fontId="3" fillId="3" borderId="0" xfId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2" fontId="6" fillId="3" borderId="0" xfId="2" applyNumberFormat="1" applyFont="1" applyFill="1"/>
    <xf numFmtId="0" fontId="0" fillId="3" borderId="0" xfId="0" applyFill="1" applyBorder="1"/>
    <xf numFmtId="0" fontId="7" fillId="3" borderId="0" xfId="0" applyFont="1" applyFill="1"/>
    <xf numFmtId="43" fontId="5" fillId="3" borderId="1" xfId="2" applyNumberFormat="1" applyFont="1" applyFill="1" applyBorder="1"/>
    <xf numFmtId="43" fontId="5" fillId="3" borderId="1" xfId="0" applyNumberFormat="1" applyFont="1" applyFill="1" applyBorder="1"/>
    <xf numFmtId="0" fontId="0" fillId="3" borderId="0" xfId="0" applyFont="1" applyFill="1"/>
    <xf numFmtId="2" fontId="5" fillId="3" borderId="0" xfId="0" applyNumberFormat="1" applyFont="1" applyFill="1"/>
    <xf numFmtId="43" fontId="5" fillId="3" borderId="4" xfId="0" applyNumberFormat="1" applyFont="1" applyFill="1" applyBorder="1"/>
    <xf numFmtId="2" fontId="5" fillId="3" borderId="4" xfId="0" applyNumberFormat="1" applyFont="1" applyFill="1" applyBorder="1"/>
    <xf numFmtId="0" fontId="0" fillId="0" borderId="5" xfId="0" applyBorder="1"/>
    <xf numFmtId="0" fontId="8" fillId="3" borderId="0" xfId="0" applyFont="1" applyFill="1"/>
    <xf numFmtId="0" fontId="9" fillId="3" borderId="0" xfId="0" applyFont="1" applyFill="1"/>
    <xf numFmtId="0" fontId="0" fillId="4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0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9" fillId="3" borderId="8" xfId="0" applyFont="1" applyFill="1" applyBorder="1"/>
    <xf numFmtId="0" fontId="8" fillId="3" borderId="8" xfId="0" applyFont="1" applyFill="1" applyBorder="1"/>
    <xf numFmtId="0" fontId="9" fillId="3" borderId="9" xfId="0" applyFont="1" applyFill="1" applyBorder="1"/>
    <xf numFmtId="2" fontId="5" fillId="2" borderId="4" xfId="0" applyNumberFormat="1" applyFont="1" applyFill="1" applyBorder="1"/>
    <xf numFmtId="0" fontId="0" fillId="2" borderId="1" xfId="0" applyFill="1" applyBorder="1"/>
    <xf numFmtId="0" fontId="8" fillId="0" borderId="10" xfId="0" applyFont="1" applyBorder="1"/>
    <xf numFmtId="0" fontId="9" fillId="0" borderId="10" xfId="0" applyFont="1" applyBorder="1"/>
    <xf numFmtId="0" fontId="0" fillId="0" borderId="10" xfId="0" applyBorder="1"/>
    <xf numFmtId="0" fontId="4" fillId="0" borderId="11" xfId="0" applyFont="1" applyBorder="1"/>
    <xf numFmtId="0" fontId="4" fillId="0" borderId="6" xfId="0" applyFont="1" applyBorder="1"/>
    <xf numFmtId="0" fontId="4" fillId="0" borderId="12" xfId="0" applyFont="1" applyBorder="1"/>
    <xf numFmtId="0" fontId="0" fillId="0" borderId="0" xfId="0" applyBorder="1"/>
    <xf numFmtId="0" fontId="0" fillId="0" borderId="13" xfId="0" applyBorder="1"/>
    <xf numFmtId="43" fontId="5" fillId="0" borderId="0" xfId="2" applyNumberFormat="1" applyFont="1" applyBorder="1"/>
    <xf numFmtId="43" fontId="5" fillId="0" borderId="0" xfId="0" applyNumberFormat="1" applyFont="1" applyBorder="1"/>
    <xf numFmtId="43" fontId="5" fillId="2" borderId="0" xfId="0" applyNumberFormat="1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" xfId="0" applyNumberFormat="1" applyFont="1" applyFill="1" applyBorder="1"/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lofilie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abSelected="1" workbookViewId="0">
      <selection activeCell="C96" sqref="C96"/>
    </sheetView>
  </sheetViews>
  <sheetFormatPr defaultRowHeight="15" x14ac:dyDescent="0.25"/>
  <cols>
    <col min="1" max="1" width="5" customWidth="1"/>
    <col min="2" max="2" width="5.42578125" customWidth="1"/>
    <col min="3" max="3" width="5.7109375" customWidth="1"/>
    <col min="4" max="4" width="5.28515625" customWidth="1"/>
    <col min="5" max="5" width="5.140625" customWidth="1"/>
    <col min="6" max="6" width="5" customWidth="1"/>
    <col min="7" max="7" width="4.85546875" customWidth="1"/>
    <col min="8" max="9" width="5" customWidth="1"/>
    <col min="10" max="10" width="5.28515625" customWidth="1"/>
    <col min="11" max="12" width="5.42578125" customWidth="1"/>
    <col min="13" max="13" width="5.5703125" customWidth="1"/>
    <col min="14" max="15" width="5" customWidth="1"/>
    <col min="16" max="17" width="4.5703125" customWidth="1"/>
    <col min="18" max="18" width="5.28515625" customWidth="1"/>
  </cols>
  <sheetData>
    <row r="1" spans="1:19" ht="15.75" x14ac:dyDescent="0.25">
      <c r="A1" s="25" t="s">
        <v>57</v>
      </c>
      <c r="B1" s="25"/>
      <c r="C1" s="25"/>
      <c r="D1" s="25"/>
      <c r="E1" s="25"/>
      <c r="F1" s="25"/>
      <c r="G1" s="25"/>
      <c r="H1" s="26"/>
      <c r="I1" s="26"/>
      <c r="J1" s="26"/>
      <c r="K1" s="4"/>
      <c r="L1" s="12" t="s">
        <v>92</v>
      </c>
      <c r="M1" s="4"/>
      <c r="N1" s="4"/>
      <c r="O1" s="12"/>
      <c r="P1" s="4"/>
      <c r="Q1" s="4"/>
      <c r="R1" s="4"/>
      <c r="S1" s="24"/>
    </row>
    <row r="2" spans="1:19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4"/>
    </row>
    <row r="3" spans="1:19" x14ac:dyDescent="0.25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4"/>
    </row>
    <row r="4" spans="1:19" x14ac:dyDescent="0.2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4"/>
    </row>
    <row r="5" spans="1:19" x14ac:dyDescent="0.25">
      <c r="A5" s="4" t="s">
        <v>43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4"/>
    </row>
    <row r="6" spans="1:19" ht="15.75" thickBot="1" x14ac:dyDescent="0.3">
      <c r="A6" s="4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4"/>
    </row>
    <row r="7" spans="1:19" ht="15.75" thickBot="1" x14ac:dyDescent="0.3">
      <c r="A7" s="13" t="s">
        <v>56</v>
      </c>
      <c r="B7" s="13"/>
      <c r="C7" s="13"/>
      <c r="D7" s="4"/>
      <c r="E7" s="27" t="s">
        <v>17</v>
      </c>
      <c r="F7" s="14" t="s">
        <v>1</v>
      </c>
      <c r="G7" s="27" t="s">
        <v>17</v>
      </c>
      <c r="H7" s="4"/>
      <c r="I7" s="4" t="s">
        <v>18</v>
      </c>
      <c r="J7" s="4"/>
      <c r="K7" s="4"/>
      <c r="L7" s="4"/>
      <c r="M7" s="15" t="e">
        <f>(2*E7+G7)*0.0031416</f>
        <v>#VALUE!</v>
      </c>
      <c r="N7" s="4" t="s">
        <v>86</v>
      </c>
      <c r="O7" s="4"/>
      <c r="P7" s="4"/>
      <c r="Q7" s="4"/>
      <c r="R7" s="4"/>
      <c r="S7" s="24"/>
    </row>
    <row r="8" spans="1:19" ht="15.75" thickBot="1" x14ac:dyDescent="0.3">
      <c r="A8" s="4" t="s">
        <v>54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4"/>
    </row>
    <row r="9" spans="1:19" ht="15.75" thickBot="1" x14ac:dyDescent="0.3">
      <c r="A9" s="4" t="s">
        <v>3</v>
      </c>
      <c r="B9" s="4"/>
      <c r="C9" s="4"/>
      <c r="D9" s="4"/>
      <c r="E9" s="27" t="s">
        <v>17</v>
      </c>
      <c r="F9" s="8" t="s">
        <v>17</v>
      </c>
      <c r="G9" s="9" t="s">
        <v>17</v>
      </c>
      <c r="H9" s="4" t="s">
        <v>52</v>
      </c>
      <c r="I9" s="4"/>
      <c r="J9" s="4"/>
      <c r="K9" s="4"/>
      <c r="L9" s="4"/>
      <c r="M9" s="4"/>
      <c r="N9" s="4"/>
      <c r="O9" s="4"/>
      <c r="P9" s="4"/>
      <c r="Q9" s="4"/>
      <c r="R9" s="4"/>
      <c r="S9" s="24"/>
    </row>
    <row r="10" spans="1:19" ht="15.75" thickBot="1" x14ac:dyDescent="0.3">
      <c r="A10" s="4" t="s">
        <v>55</v>
      </c>
      <c r="B10" s="4"/>
      <c r="C10" s="4"/>
      <c r="D10" s="4"/>
      <c r="E10" s="4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4"/>
    </row>
    <row r="11" spans="1:19" ht="15.75" thickBot="1" x14ac:dyDescent="0.3">
      <c r="A11" s="4" t="s">
        <v>2</v>
      </c>
      <c r="B11" s="4"/>
      <c r="C11" s="4"/>
      <c r="D11" s="4"/>
      <c r="E11" s="27" t="s">
        <v>17</v>
      </c>
      <c r="F11" s="8" t="s">
        <v>17</v>
      </c>
      <c r="G11" s="9" t="s">
        <v>17</v>
      </c>
      <c r="H11" s="9" t="s">
        <v>17</v>
      </c>
      <c r="I11" s="9" t="s">
        <v>17</v>
      </c>
      <c r="J11" s="9" t="s">
        <v>17</v>
      </c>
      <c r="K11" s="9" t="s">
        <v>17</v>
      </c>
      <c r="L11" s="9" t="s">
        <v>17</v>
      </c>
      <c r="M11" s="9" t="s">
        <v>17</v>
      </c>
      <c r="N11" s="9" t="s">
        <v>17</v>
      </c>
      <c r="O11" s="9" t="s">
        <v>17</v>
      </c>
      <c r="P11" s="9" t="s">
        <v>17</v>
      </c>
      <c r="Q11" s="9" t="s">
        <v>17</v>
      </c>
      <c r="R11" s="28" t="s">
        <v>17</v>
      </c>
      <c r="S11" s="24"/>
    </row>
    <row r="12" spans="1:19" ht="15.75" x14ac:dyDescent="0.25">
      <c r="A12" s="4"/>
      <c r="B12" s="4"/>
      <c r="C12" s="4"/>
      <c r="D12" s="17" t="str">
        <f>E9</f>
        <v xml:space="preserve"> </v>
      </c>
      <c r="E12" s="18" t="e">
        <f>M7*E9/E11</f>
        <v>#VALUE!</v>
      </c>
      <c r="F12" s="19" t="e">
        <f>M7*E9/F11</f>
        <v>#VALUE!</v>
      </c>
      <c r="G12" s="19" t="e">
        <f>M7*E9/G11</f>
        <v>#VALUE!</v>
      </c>
      <c r="H12" s="19" t="e">
        <f>M7*E9/H11</f>
        <v>#VALUE!</v>
      </c>
      <c r="I12" s="19" t="e">
        <f>M7*E9/I11</f>
        <v>#VALUE!</v>
      </c>
      <c r="J12" s="19" t="e">
        <f>M7*E9/J11</f>
        <v>#VALUE!</v>
      </c>
      <c r="K12" s="19" t="e">
        <f>M7*E9/K11</f>
        <v>#VALUE!</v>
      </c>
      <c r="L12" s="19" t="e">
        <f>M7*E9/L11</f>
        <v>#VALUE!</v>
      </c>
      <c r="M12" s="19" t="e">
        <f>M7*E9/M11</f>
        <v>#VALUE!</v>
      </c>
      <c r="N12" s="19" t="e">
        <f>M7*E9/N11</f>
        <v>#VALUE!</v>
      </c>
      <c r="O12" s="19" t="e">
        <f>M7*E9/O11</f>
        <v>#VALUE!</v>
      </c>
      <c r="P12" s="19" t="e">
        <f>M7*E9/P11</f>
        <v>#VALUE!</v>
      </c>
      <c r="Q12" s="19" t="e">
        <f>M7*E9/Q11</f>
        <v>#VALUE!</v>
      </c>
      <c r="R12" s="22" t="e">
        <f>M7*E9/R11</f>
        <v>#VALUE!</v>
      </c>
      <c r="S12" s="24"/>
    </row>
    <row r="13" spans="1:19" ht="15.75" x14ac:dyDescent="0.25">
      <c r="A13" s="4"/>
      <c r="B13" s="4"/>
      <c r="C13" s="4"/>
      <c r="D13" s="17" t="str">
        <f>F9</f>
        <v xml:space="preserve"> </v>
      </c>
      <c r="E13" s="19" t="e">
        <f>M7*F9/E11</f>
        <v>#VALUE!</v>
      </c>
      <c r="F13" s="19" t="e">
        <f>M7*F9/F11</f>
        <v>#VALUE!</v>
      </c>
      <c r="G13" s="19" t="e">
        <f>M7*F9/G11</f>
        <v>#VALUE!</v>
      </c>
      <c r="H13" s="19" t="e">
        <f>M7*F9/H11</f>
        <v>#VALUE!</v>
      </c>
      <c r="I13" s="19" t="e">
        <f>M7*F9/I11</f>
        <v>#VALUE!</v>
      </c>
      <c r="J13" s="19" t="e">
        <f>M7*F9/J11</f>
        <v>#VALUE!</v>
      </c>
      <c r="K13" s="19" t="e">
        <f>M7*F9/K11</f>
        <v>#VALUE!</v>
      </c>
      <c r="L13" s="19" t="e">
        <f>M7*F9/L11</f>
        <v>#VALUE!</v>
      </c>
      <c r="M13" s="19" t="e">
        <f>M7*F9/M11</f>
        <v>#VALUE!</v>
      </c>
      <c r="N13" s="19" t="e">
        <f>M7*F9/N11</f>
        <v>#VALUE!</v>
      </c>
      <c r="O13" s="19" t="e">
        <f>M7*F9/O11</f>
        <v>#VALUE!</v>
      </c>
      <c r="P13" s="19" t="e">
        <f>M7*F9/P11</f>
        <v>#VALUE!</v>
      </c>
      <c r="Q13" s="19" t="e">
        <f>M7*F9/Q11</f>
        <v>#VALUE!</v>
      </c>
      <c r="R13" s="22" t="e">
        <f>M7*F9/R11</f>
        <v>#VALUE!</v>
      </c>
      <c r="S13" s="24"/>
    </row>
    <row r="14" spans="1:19" ht="15.75" x14ac:dyDescent="0.25">
      <c r="A14" s="4"/>
      <c r="B14" s="4"/>
      <c r="C14" s="4"/>
      <c r="D14" s="17" t="str">
        <f>G9</f>
        <v xml:space="preserve"> </v>
      </c>
      <c r="E14" s="19" t="e">
        <f>G9*M7/E11</f>
        <v>#VALUE!</v>
      </c>
      <c r="F14" s="19" t="e">
        <f>G9*M7/F11</f>
        <v>#VALUE!</v>
      </c>
      <c r="G14" s="19" t="e">
        <f>G9*M7/G11</f>
        <v>#VALUE!</v>
      </c>
      <c r="H14" s="19" t="e">
        <f>G9*M7/H11</f>
        <v>#VALUE!</v>
      </c>
      <c r="I14" s="19" t="e">
        <f>G9*M7/I11</f>
        <v>#VALUE!</v>
      </c>
      <c r="J14" s="19" t="e">
        <f>G9*M7/J11</f>
        <v>#VALUE!</v>
      </c>
      <c r="K14" s="19" t="e">
        <f>G9*M7/K11</f>
        <v>#VALUE!</v>
      </c>
      <c r="L14" s="19" t="e">
        <f>G9*M7/L11</f>
        <v>#VALUE!</v>
      </c>
      <c r="M14" s="19" t="e">
        <f>G9*M7/M11</f>
        <v>#VALUE!</v>
      </c>
      <c r="N14" s="19" t="e">
        <f>G9*M7/N11</f>
        <v>#VALUE!</v>
      </c>
      <c r="O14" s="19" t="e">
        <f>G9*M7/O11</f>
        <v>#VALUE!</v>
      </c>
      <c r="P14" s="19" t="e">
        <f>G9*M7/P11</f>
        <v>#VALUE!</v>
      </c>
      <c r="Q14" s="19" t="e">
        <f>G9*M7/Q11</f>
        <v>#VALUE!</v>
      </c>
      <c r="R14" s="22" t="e">
        <f>G9*M7/R11</f>
        <v>#VALUE!</v>
      </c>
      <c r="S14" s="24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24"/>
    </row>
    <row r="16" spans="1:19" ht="16.5" thickBot="1" x14ac:dyDescent="0.3">
      <c r="A16" s="29" t="s">
        <v>87</v>
      </c>
      <c r="B16" s="30"/>
      <c r="C16" s="30"/>
      <c r="D16" s="30"/>
      <c r="E16" s="30"/>
      <c r="F16" s="32"/>
      <c r="G16" s="32"/>
      <c r="H16" s="32"/>
      <c r="I16" s="32"/>
      <c r="J16" s="32"/>
      <c r="K16" s="32"/>
      <c r="L16" s="32"/>
      <c r="M16" s="30"/>
      <c r="N16" s="30"/>
      <c r="O16" s="30"/>
      <c r="P16" s="30"/>
      <c r="Q16" s="30"/>
      <c r="R16" s="31"/>
      <c r="S16" s="24"/>
    </row>
    <row r="17" spans="1:24" ht="15.75" thickTop="1" x14ac:dyDescent="0.25">
      <c r="A17" s="13" t="s">
        <v>93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4"/>
    </row>
    <row r="18" spans="1:24" x14ac:dyDescent="0.25">
      <c r="A18" s="20" t="s">
        <v>27</v>
      </c>
      <c r="B18" s="4"/>
      <c r="C18" s="4"/>
      <c r="D18" s="2" t="e">
        <f>M7*E9/E11*1.65</f>
        <v>#VALUE!</v>
      </c>
      <c r="E18" s="2" t="e">
        <f>M7*E9/E11*1</f>
        <v>#VALUE!</v>
      </c>
      <c r="F18" s="4"/>
      <c r="G18" s="4" t="s">
        <v>28</v>
      </c>
      <c r="H18" s="4"/>
      <c r="I18" s="4"/>
      <c r="J18" s="4"/>
      <c r="K18" s="2" t="e">
        <f>M7*E9/E11*2.5</f>
        <v>#VALUE!</v>
      </c>
      <c r="L18" s="2" t="e">
        <f>M7*E9/E11</f>
        <v>#VALUE!</v>
      </c>
      <c r="M18" s="4"/>
      <c r="N18" s="4" t="s">
        <v>29</v>
      </c>
      <c r="O18" s="4"/>
      <c r="P18" s="4"/>
      <c r="Q18" s="2" t="e">
        <f>M7*E9/E11*1</f>
        <v>#VALUE!</v>
      </c>
      <c r="R18" s="35" t="e">
        <f>M7*E9/E11*0.4</f>
        <v>#VALUE!</v>
      </c>
      <c r="S18" s="24"/>
    </row>
    <row r="19" spans="1:24" x14ac:dyDescent="0.25">
      <c r="A19" s="13" t="s">
        <v>91</v>
      </c>
      <c r="B19" s="4"/>
      <c r="C19" s="4"/>
      <c r="D19" s="4"/>
      <c r="E19" s="4"/>
      <c r="F19" s="36" t="e">
        <f>M7*E9/E11*1</f>
        <v>#VALUE!</v>
      </c>
      <c r="G19" s="36" t="e">
        <f>M7*E9/E11*1.43</f>
        <v>#VALUE!</v>
      </c>
      <c r="H19" s="36" t="e">
        <f>M7*E9/E11*1.79</f>
        <v>#VALUE!</v>
      </c>
      <c r="I19" s="4"/>
      <c r="J19" s="4" t="s">
        <v>100</v>
      </c>
      <c r="K19" s="4"/>
      <c r="L19" s="4"/>
      <c r="M19" s="4"/>
      <c r="N19" s="4"/>
      <c r="O19" s="4"/>
      <c r="P19" s="4"/>
      <c r="Q19" s="4"/>
      <c r="R19" s="4"/>
      <c r="S19" s="24"/>
    </row>
    <row r="20" spans="1:24" x14ac:dyDescent="0.25">
      <c r="A20" s="13" t="s">
        <v>58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4"/>
    </row>
    <row r="21" spans="1:24" x14ac:dyDescent="0.25">
      <c r="A21" s="13" t="s">
        <v>69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4"/>
    </row>
    <row r="22" spans="1:24" x14ac:dyDescent="0.25">
      <c r="A22" s="2" t="e">
        <f>M7*E9/E11*3.448</f>
        <v>#VALUE!</v>
      </c>
      <c r="B22" s="2" t="e">
        <f>M7*E9/E11*3.125</f>
        <v>#VALUE!</v>
      </c>
      <c r="C22" s="2" t="e">
        <f>M7*E9/E11*2.778</f>
        <v>#VALUE!</v>
      </c>
      <c r="D22" s="2" t="e">
        <f>M7*E9/E11*2.5</f>
        <v>#VALUE!</v>
      </c>
      <c r="E22" s="2" t="e">
        <f>M7*E9/E11*2.273</f>
        <v>#VALUE!</v>
      </c>
      <c r="F22" s="2" t="e">
        <f>M7*E9/E11*2.041</f>
        <v>#VALUE!</v>
      </c>
      <c r="G22" s="2" t="e">
        <f>M7*E9/E11*1.818</f>
        <v>#VALUE!</v>
      </c>
      <c r="H22" s="2" t="e">
        <f>M7*E9/E11*1.613</f>
        <v>#VALUE!</v>
      </c>
      <c r="I22" s="2" t="e">
        <f>M7*E9/E11*1.449</f>
        <v>#VALUE!</v>
      </c>
      <c r="J22" s="2" t="e">
        <f>M7*E9/E11*1.316</f>
        <v>#VALUE!</v>
      </c>
      <c r="K22" s="2" t="e">
        <f>M7*E9/E11*1.176</f>
        <v>#VALUE!</v>
      </c>
      <c r="L22" s="2" t="e">
        <f>M7*E9/E11*1.053</f>
        <v>#VALUE!</v>
      </c>
      <c r="M22" s="2" t="e">
        <f>M7*E9/E11*0.943</f>
        <v>#VALUE!</v>
      </c>
      <c r="N22" s="2" t="e">
        <f>M7*E9/E11*0.84</f>
        <v>#VALUE!</v>
      </c>
      <c r="O22" s="2" t="e">
        <f>M7*E9/E11*0.758</f>
        <v>#VALUE!</v>
      </c>
      <c r="P22" s="2" t="e">
        <f>M7*E9/E11*0.68</f>
        <v>#VALUE!</v>
      </c>
      <c r="Q22" s="2" t="e">
        <f>M7*E9/E11*0.6135</f>
        <v>#VALUE!</v>
      </c>
      <c r="R22" s="35" t="e">
        <f>M7*E9/E11*0.549</f>
        <v>#VALUE!</v>
      </c>
      <c r="S22" s="24"/>
    </row>
    <row r="23" spans="1:24" x14ac:dyDescent="0.25">
      <c r="A23" s="4" t="s">
        <v>32</v>
      </c>
      <c r="B23" s="4"/>
      <c r="C23" s="4"/>
      <c r="D23" s="4"/>
      <c r="E23" s="4"/>
      <c r="F23" s="4"/>
      <c r="G23" s="3" t="e">
        <f>M7*E9/E11*3.333</f>
        <v>#VALUE!</v>
      </c>
      <c r="H23" s="3" t="e">
        <f>M7*E9/E11*2.778</f>
        <v>#VALUE!</v>
      </c>
      <c r="I23" s="3" t="e">
        <f>M7*E9/E11*2.381</f>
        <v>#VALUE!</v>
      </c>
      <c r="J23" s="3" t="e">
        <f>M7*E9/E11*2.041</f>
        <v>#VALUE!</v>
      </c>
      <c r="K23" s="3" t="e">
        <f>M7*E9/E11*1.724</f>
        <v>#VALUE!</v>
      </c>
      <c r="L23" s="3" t="e">
        <f>M7*E9/E11*0.81*1.449</f>
        <v>#VALUE!</v>
      </c>
      <c r="M23" s="3" t="e">
        <f>M7*E9/E11*1.235</f>
        <v>#VALUE!</v>
      </c>
      <c r="N23" s="3" t="e">
        <f>M7*E9/E11*1.053</f>
        <v>#VALUE!</v>
      </c>
      <c r="O23" s="3" t="e">
        <f>M7*E9/E11*0.893</f>
        <v>#VALUE!</v>
      </c>
      <c r="P23" s="3" t="e">
        <f>M7*E9/E11*0.758</f>
        <v>#VALUE!</v>
      </c>
      <c r="Q23" s="3" t="e">
        <f>M7*E9/E11*0.662</f>
        <v>#VALUE!</v>
      </c>
      <c r="R23" s="23" t="e">
        <f>M7*E9/E11*0.549</f>
        <v>#VALUE!</v>
      </c>
      <c r="S23" s="24"/>
      <c r="X23" t="s">
        <v>17</v>
      </c>
    </row>
    <row r="24" spans="1:24" x14ac:dyDescent="0.25">
      <c r="A24" s="1" t="s">
        <v>30</v>
      </c>
      <c r="B24" s="1"/>
      <c r="C24" s="1"/>
      <c r="D24" s="1"/>
      <c r="E24" s="1"/>
      <c r="F24" s="1"/>
      <c r="G24" s="1"/>
      <c r="H24" s="1"/>
      <c r="I24" s="1"/>
      <c r="J24" s="2" t="e">
        <f>M7*E9/E11*3.125</f>
        <v>#VALUE!</v>
      </c>
      <c r="K24" s="2" t="e">
        <f>M7*E9/E11*2.5</f>
        <v>#VALUE!</v>
      </c>
      <c r="L24" s="2" t="e">
        <f>M7*E9/E11*2.041</f>
        <v>#VALUE!</v>
      </c>
      <c r="M24" s="2" t="e">
        <f>M7*E9/E11*1.613</f>
        <v>#VALUE!</v>
      </c>
      <c r="N24" s="2" t="e">
        <f>M7*E9/E11*1.316</f>
        <v>#VALUE!</v>
      </c>
      <c r="O24" s="2" t="e">
        <f>M7*E9/E11*1.053</f>
        <v>#VALUE!</v>
      </c>
      <c r="P24" s="2" t="e">
        <f>M7*E9/E11*0.84</f>
        <v>#VALUE!</v>
      </c>
      <c r="Q24" s="2" t="e">
        <f>M7*E9/E11*0.68</f>
        <v>#VALUE!</v>
      </c>
      <c r="R24" s="35" t="e">
        <f>M7*E9/E11*0.549</f>
        <v>#VALUE!</v>
      </c>
      <c r="S24" s="24"/>
    </row>
    <row r="25" spans="1:24" x14ac:dyDescent="0.25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3" t="e">
        <f>M7*E9/E11*2.778</f>
        <v>#VALUE!</v>
      </c>
      <c r="K25" s="3" t="e">
        <f>M7*E9/E11*2.381</f>
        <v>#VALUE!</v>
      </c>
      <c r="L25" s="3" t="e">
        <f>M7*E9/E11*2.041</f>
        <v>#VALUE!</v>
      </c>
      <c r="M25" s="3" t="e">
        <f>M7*E9/E11*1.695</f>
        <v>#VALUE!</v>
      </c>
      <c r="N25" s="3" t="e">
        <f>M7*E9/E11*1.449</f>
        <v>#VALUE!</v>
      </c>
      <c r="O25" s="3" t="e">
        <f>M7*E9/E11*1.235</f>
        <v>#VALUE!</v>
      </c>
      <c r="P25" s="3" t="e">
        <f>M7*E9/E11*1.053</f>
        <v>#VALUE!</v>
      </c>
      <c r="Q25" s="3" t="e">
        <f>M7*E9/E11*0.901</f>
        <v>#VALUE!</v>
      </c>
      <c r="R25" s="23" t="e">
        <f>M7*E9/E11*0.769</f>
        <v>#VALUE!</v>
      </c>
      <c r="S25" s="2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4"/>
    </row>
    <row r="27" spans="1:24" x14ac:dyDescent="0.25">
      <c r="A27" s="13" t="s">
        <v>33</v>
      </c>
      <c r="B27" s="4"/>
      <c r="C27" s="4"/>
      <c r="D27" s="4"/>
      <c r="E27" s="4"/>
      <c r="F27" s="4"/>
      <c r="G27" s="2" t="e">
        <f>M7*E9/E11*1.36</f>
        <v>#VALUE!</v>
      </c>
      <c r="H27" s="2" t="e">
        <f>M7*E9/E11*1.06</f>
        <v>#VALUE!</v>
      </c>
      <c r="I27" s="2" t="e">
        <f>M7*E9/E11*0.78</f>
        <v>#VALUE!</v>
      </c>
      <c r="J27" s="2" t="e">
        <f>M7*E9/E11*0.63</f>
        <v>#VALUE!</v>
      </c>
      <c r="K27" s="4"/>
      <c r="L27" s="13" t="s">
        <v>34</v>
      </c>
      <c r="M27" s="4"/>
      <c r="N27" s="2" t="e">
        <f>M7*E9/E11*1.23</f>
        <v>#VALUE!</v>
      </c>
      <c r="O27" s="2" t="e">
        <f>M7*E9/E11*1</f>
        <v>#VALUE!</v>
      </c>
      <c r="P27" s="2" t="e">
        <f>M7*E9/E11*0.77</f>
        <v>#VALUE!</v>
      </c>
      <c r="Q27" s="4"/>
      <c r="R27" s="4"/>
      <c r="S27" s="24"/>
    </row>
    <row r="28" spans="1:24" x14ac:dyDescent="0.25">
      <c r="A28" s="13" t="s">
        <v>35</v>
      </c>
      <c r="B28" s="4"/>
      <c r="C28" s="2" t="e">
        <f>M7*E9/E11*1.17</f>
        <v>#VALUE!</v>
      </c>
      <c r="D28" s="2" t="e">
        <f>M7*E9/E11</f>
        <v>#VALUE!</v>
      </c>
      <c r="E28" s="2" t="e">
        <f>M7*E9/E11*0.8</f>
        <v>#VALUE!</v>
      </c>
      <c r="F28" s="4"/>
      <c r="G28" s="13" t="s">
        <v>36</v>
      </c>
      <c r="H28" s="4"/>
      <c r="I28" s="4"/>
      <c r="J28" s="4"/>
      <c r="K28" s="2" t="e">
        <f>M7*E9/E11</f>
        <v>#VALUE!</v>
      </c>
      <c r="L28" s="2" t="e">
        <f>M7*E9/E11*0.77</f>
        <v>#VALUE!</v>
      </c>
      <c r="M28" s="4" t="s">
        <v>37</v>
      </c>
      <c r="N28" s="4"/>
      <c r="O28" s="4"/>
      <c r="P28" s="16"/>
      <c r="Q28" s="2" t="e">
        <f>M7*E9/E11</f>
        <v>#VALUE!</v>
      </c>
      <c r="R28" s="35" t="e">
        <f>M7*E9/E11*0.71</f>
        <v>#VALUE!</v>
      </c>
      <c r="S28" s="2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4"/>
    </row>
    <row r="30" spans="1:24" ht="16.5" thickBot="1" x14ac:dyDescent="0.3">
      <c r="A30" s="33" t="s">
        <v>88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2"/>
      <c r="M30" s="32"/>
      <c r="N30" s="32"/>
      <c r="O30" s="32"/>
      <c r="P30" s="32"/>
      <c r="Q30" s="32"/>
      <c r="R30" s="34"/>
      <c r="S30" s="24"/>
    </row>
    <row r="31" spans="1:24" ht="15.75" thickTop="1" x14ac:dyDescent="0.25">
      <c r="A31" s="1" t="s">
        <v>89</v>
      </c>
      <c r="B31" s="1"/>
      <c r="C31" s="1"/>
      <c r="D31" s="1"/>
      <c r="E31" s="6" t="e">
        <f>M7*E9/E11*1.467</f>
        <v>#VALUE!</v>
      </c>
      <c r="F31" s="6" t="e">
        <f>M7*E9/E11*1.292</f>
        <v>#VALUE!</v>
      </c>
      <c r="G31" s="6" t="e">
        <f>M7*E9/E11*1.135</f>
        <v>#VALUE!</v>
      </c>
      <c r="H31" s="6" t="e">
        <f>M7*E9/E11*1</f>
        <v>#VALUE!</v>
      </c>
      <c r="I31" s="6" t="e">
        <f>M7*E9/E11*0.881</f>
        <v>#VALUE!</v>
      </c>
      <c r="J31" s="6" t="e">
        <f>M7*E9/E11*0.774</f>
        <v>#VALUE!</v>
      </c>
      <c r="K31" s="6" t="e">
        <f>M7*E9/E11*0.682</f>
        <v>#VALUE!</v>
      </c>
      <c r="L31" s="6" t="e">
        <f>M7*E9/E11*0.599</f>
        <v>#VALUE!</v>
      </c>
      <c r="M31" s="6" t="e">
        <f>M7*E9/E11*0.528</f>
        <v>#VALUE!</v>
      </c>
      <c r="N31" s="6" t="e">
        <f>M7*E9/E11*0.464</f>
        <v>#VALUE!</v>
      </c>
      <c r="O31" s="6" t="e">
        <f>M7*E9/E11*0.409</f>
        <v>#VALUE!</v>
      </c>
      <c r="P31" s="6" t="e">
        <f>M7*E9/E11*0.36</f>
        <v>#VALUE!</v>
      </c>
      <c r="Q31" s="6" t="e">
        <f>M7*E9/E11*0.316</f>
        <v>#VALUE!</v>
      </c>
      <c r="R31" s="6" t="e">
        <f>M7*E9/E11*0.279</f>
        <v>#VALUE!</v>
      </c>
      <c r="S31" s="24"/>
    </row>
    <row r="32" spans="1:24" x14ac:dyDescent="0.25">
      <c r="A32" s="4" t="s">
        <v>10</v>
      </c>
      <c r="B32" s="4"/>
      <c r="C32" s="16"/>
      <c r="D32" s="16"/>
      <c r="E32" s="4"/>
      <c r="F32" s="4"/>
      <c r="G32" s="3" t="e">
        <f>M7*E9/E11*2.364</f>
        <v>#VALUE!</v>
      </c>
      <c r="H32" s="3" t="e">
        <f>M7*E9/E11*2.217</f>
        <v>#VALUE!</v>
      </c>
      <c r="I32" s="3" t="e">
        <f>M7*E9/E11*2.061</f>
        <v>#VALUE!</v>
      </c>
      <c r="J32" s="3" t="e">
        <f>M7*E9/E11*1.915</f>
        <v>#VALUE!</v>
      </c>
      <c r="K32" s="3" t="e">
        <f>M7*E9/E11*1.766</f>
        <v>#VALUE!</v>
      </c>
      <c r="L32" s="3" t="e">
        <f>M7*E9/E11*1.612</f>
        <v>#VALUE!</v>
      </c>
      <c r="M32" s="3" t="e">
        <f>M7*E9/E11*1.481</f>
        <v>#VALUE!</v>
      </c>
      <c r="N32" s="21" t="e">
        <f>M7*E9/E11*1.33</f>
        <v>#VALUE!</v>
      </c>
      <c r="O32" s="3" t="e">
        <f>M7*E9/E11*1.179</f>
        <v>#VALUE!</v>
      </c>
      <c r="P32" s="3" t="e">
        <f>M7*E9/E11*1</f>
        <v>#VALUE!</v>
      </c>
      <c r="Q32" s="3" t="e">
        <f>M7*E9/E11*0.851</f>
        <v>#VALUE!</v>
      </c>
      <c r="R32" s="3" t="e">
        <f>M7*E9/E11*0.697</f>
        <v>#VALUE!</v>
      </c>
      <c r="S32" s="24"/>
    </row>
    <row r="33" spans="1:19" x14ac:dyDescent="0.25">
      <c r="A33" s="1" t="s">
        <v>64</v>
      </c>
      <c r="B33" s="1"/>
      <c r="C33" s="1"/>
      <c r="D33" s="1"/>
      <c r="E33" s="1"/>
      <c r="F33" s="1"/>
      <c r="G33" s="1"/>
      <c r="H33" s="2" t="e">
        <f>M7*E9/E11*2.153</f>
        <v>#VALUE!</v>
      </c>
      <c r="I33" s="2" t="e">
        <f>M7*E9/E11*1.888</f>
        <v>#VALUE!</v>
      </c>
      <c r="J33" s="2" t="e">
        <f>M7*E9/E11*1.667</f>
        <v>#VALUE!</v>
      </c>
      <c r="K33" s="2" t="e">
        <f>M7*E9/E11*1.462</f>
        <v>#VALUE!</v>
      </c>
      <c r="L33" s="2" t="e">
        <f>M7*E9/E11*1.292</f>
        <v>#VALUE!</v>
      </c>
      <c r="M33" s="2" t="e">
        <f>M7*E9/E11*1.1134</f>
        <v>#VALUE!</v>
      </c>
      <c r="N33" s="2" t="e">
        <f>M7*E9/E11*0.995</f>
        <v>#VALUE!</v>
      </c>
      <c r="O33" s="2" t="e">
        <f>M7*E9/E11*0.878</f>
        <v>#VALUE!</v>
      </c>
      <c r="P33" s="2" t="e">
        <f>M7*E9/E11*0.77</f>
        <v>#VALUE!</v>
      </c>
      <c r="Q33" s="2" t="e">
        <f>M7*E9/E11*0.681</f>
        <v>#VALUE!</v>
      </c>
      <c r="R33" s="2" t="e">
        <f>M7*E9/E11*0.527</f>
        <v>#VALUE!</v>
      </c>
      <c r="S33" s="24"/>
    </row>
    <row r="34" spans="1:19" x14ac:dyDescent="0.25">
      <c r="A34" s="4" t="s">
        <v>6</v>
      </c>
      <c r="B34" s="4"/>
      <c r="C34" s="4"/>
      <c r="D34" s="4"/>
      <c r="E34" s="4"/>
      <c r="F34" s="4"/>
      <c r="G34" s="4"/>
      <c r="H34" s="4"/>
      <c r="I34" s="4"/>
      <c r="J34" s="3" t="e">
        <f>M7*E9/E11*1.846</f>
        <v>#VALUE!</v>
      </c>
      <c r="K34" s="3" t="e">
        <f>M7*E9/E11*1.611</f>
        <v>#VALUE!</v>
      </c>
      <c r="L34" s="3" t="e">
        <f>M7*E9/E11*1.375</f>
        <v>#VALUE!</v>
      </c>
      <c r="M34" s="3" t="e">
        <f>M7*E9/E11*1.172</f>
        <v>#VALUE!</v>
      </c>
      <c r="N34" s="3" t="e">
        <f>M7*E9/E11*1</f>
        <v>#VALUE!</v>
      </c>
      <c r="O34" s="3" t="e">
        <f>M7*E9/E11*0.853</f>
        <v>#VALUE!</v>
      </c>
      <c r="P34" s="3" t="e">
        <f>M7*E9/E11*0.727</f>
        <v>#VALUE!</v>
      </c>
      <c r="Q34" s="3" t="e">
        <f>M7*E9/E11*0.621</f>
        <v>#VALUE!</v>
      </c>
      <c r="R34" s="3" t="e">
        <f>M7*E9/E11*0.542</f>
        <v>#VALUE!</v>
      </c>
      <c r="S34" s="24"/>
    </row>
    <row r="35" spans="1:19" x14ac:dyDescent="0.25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2" t="e">
        <f>M7*E9/E11*1.58</f>
        <v>#VALUE!</v>
      </c>
      <c r="K35" s="2" t="e">
        <f>M7*E9/E11*1.36</f>
        <v>#VALUE!</v>
      </c>
      <c r="L35" s="2" t="e">
        <f>M7*E9/E11*1.2</f>
        <v>#VALUE!</v>
      </c>
      <c r="M35" s="2" t="e">
        <f>M7*E9/E11*1.05</f>
        <v>#VALUE!</v>
      </c>
      <c r="N35" s="2" t="e">
        <f>M7*E9/E11*0.9</f>
        <v>#VALUE!</v>
      </c>
      <c r="O35" s="2" t="e">
        <f>M7*E9/E11*0.8</f>
        <v>#VALUE!</v>
      </c>
      <c r="P35" s="2" t="e">
        <f>M7*E9/E11*0.71</f>
        <v>#VALUE!</v>
      </c>
      <c r="Q35" s="2" t="e">
        <f>M7*E9/E11*0.61</f>
        <v>#VALUE!</v>
      </c>
      <c r="R35" s="2" t="e">
        <f>M7*E9/E11*0.54</f>
        <v>#VALUE!</v>
      </c>
      <c r="S35" s="24"/>
    </row>
    <row r="36" spans="1:19" x14ac:dyDescent="0.25">
      <c r="A36" s="4" t="s">
        <v>61</v>
      </c>
      <c r="B36" s="4"/>
      <c r="C36" s="4"/>
      <c r="D36" s="4"/>
      <c r="E36" s="4"/>
      <c r="F36" s="4"/>
      <c r="G36" s="4"/>
      <c r="H36" s="21"/>
      <c r="I36" s="4"/>
      <c r="J36" s="4"/>
      <c r="K36" s="3" t="e">
        <f>M7*E9/E11*1.58</f>
        <v>#VALUE!</v>
      </c>
      <c r="L36" s="3" t="e">
        <f>M7*E9/E11*1.36</f>
        <v>#VALUE!</v>
      </c>
      <c r="M36" s="3" t="e">
        <f>M7*E9/E11*1.2</f>
        <v>#VALUE!</v>
      </c>
      <c r="N36" s="3" t="e">
        <f>M7*E9/E11*1.05</f>
        <v>#VALUE!</v>
      </c>
      <c r="O36" s="3" t="e">
        <f>M7*E9/E11*0.9</f>
        <v>#VALUE!</v>
      </c>
      <c r="P36" s="3" t="e">
        <f>M7*E9/E11*0.8</f>
        <v>#VALUE!</v>
      </c>
      <c r="Q36" s="3" t="e">
        <f>M7*E9/E11*0.71</f>
        <v>#VALUE!</v>
      </c>
      <c r="R36" s="3" t="e">
        <f>M7*E9/E11*0.61</f>
        <v>#VALUE!</v>
      </c>
      <c r="S36" s="24"/>
    </row>
    <row r="37" spans="1:19" x14ac:dyDescent="0.25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2" t="e">
        <f>M7*E9/E11*1.615</f>
        <v>#VALUE!</v>
      </c>
      <c r="L37" s="2" t="e">
        <f>M7*E9/E11*1.419</f>
        <v>#VALUE!</v>
      </c>
      <c r="M37" s="2" t="e">
        <f>M7*E9/E11*1.223</f>
        <v>#VALUE!</v>
      </c>
      <c r="N37" s="2" t="e">
        <f>M7*E9/E11*1</f>
        <v>#VALUE!</v>
      </c>
      <c r="O37" s="2" t="e">
        <f>M7*E9/E11*0.851</f>
        <v>#VALUE!</v>
      </c>
      <c r="P37" s="2" t="e">
        <f>M7*E9/E11*0.727</f>
        <v>#VALUE!</v>
      </c>
      <c r="Q37" s="2" t="e">
        <f>M7*E9/E11*0.664</f>
        <v>#VALUE!</v>
      </c>
      <c r="R37" s="2" t="e">
        <f>M7*E9/E11*0.527</f>
        <v>#VALUE!</v>
      </c>
      <c r="S37" s="24"/>
    </row>
    <row r="38" spans="1:19" x14ac:dyDescent="0.25">
      <c r="A38" s="4" t="s">
        <v>71</v>
      </c>
      <c r="B38" s="4"/>
      <c r="C38" s="4"/>
      <c r="D38" s="4"/>
      <c r="E38" s="4"/>
      <c r="F38" s="4"/>
      <c r="G38" s="4"/>
      <c r="H38" s="4"/>
      <c r="I38" s="4"/>
      <c r="J38" s="4"/>
      <c r="K38" s="3" t="e">
        <f>M7*E9/E11*3.054</f>
        <v>#VALUE!</v>
      </c>
      <c r="L38" s="3" t="e">
        <f>M7*E9/E11*2.384</f>
        <v>#VALUE!</v>
      </c>
      <c r="M38" s="3" t="e">
        <f>M7*E9/E11*2.106</f>
        <v>#VALUE!</v>
      </c>
      <c r="N38" s="3" t="e">
        <f>M7*E9/E11*1.858</f>
        <v>#VALUE!</v>
      </c>
      <c r="O38" s="3" t="e">
        <f>M7*E9/E11*1.644</f>
        <v>#VALUE!</v>
      </c>
      <c r="P38" s="3" t="e">
        <f>M7*E9/E11*1.45</f>
        <v>#VALUE!</v>
      </c>
      <c r="Q38" s="3" t="e">
        <f>M7*E9/E11*1.281</f>
        <v>#VALUE!</v>
      </c>
      <c r="R38" s="3" t="e">
        <f>M7*E9/E11*1</f>
        <v>#VALUE!</v>
      </c>
      <c r="S38" s="24"/>
    </row>
    <row r="39" spans="1:19" x14ac:dyDescent="0.25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1" t="e">
        <f>M7*E9/E11*3.24</f>
        <v>#VALUE!</v>
      </c>
      <c r="L39" s="11" t="e">
        <f>M7*E9/E11*2.49</f>
        <v>#VALUE!</v>
      </c>
      <c r="M39" s="11" t="e">
        <f>M7*E9/E11*2.19</f>
        <v>#VALUE!</v>
      </c>
      <c r="N39" s="11" t="e">
        <f>M7*E9/E11*1.93</f>
        <v>#VALUE!</v>
      </c>
      <c r="O39" s="11" t="e">
        <f>M7*E9/E11*1.68</f>
        <v>#VALUE!</v>
      </c>
      <c r="P39" s="11" t="e">
        <f>M7*E9/E11*1.48</f>
        <v>#VALUE!</v>
      </c>
      <c r="Q39" s="11" t="e">
        <f>M7*E9/E11*1.3</f>
        <v>#VALUE!</v>
      </c>
      <c r="R39" s="11" t="e">
        <f>M7*E9/E11</f>
        <v>#VALUE!</v>
      </c>
      <c r="S39" s="24"/>
    </row>
    <row r="40" spans="1:19" x14ac:dyDescent="0.25">
      <c r="A40" s="4" t="s">
        <v>66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10" t="e">
        <f>M7*E9/E11*1.545</f>
        <v>#VALUE!</v>
      </c>
      <c r="M40" s="10" t="e">
        <f>M7*E9/E11*1.335</f>
        <v>#VALUE!</v>
      </c>
      <c r="N40" s="10" t="e">
        <f>M7*E9/E11*1.145</f>
        <v>#VALUE!</v>
      </c>
      <c r="O40" s="10" t="e">
        <f>M7*E9/E11*0.989</f>
        <v>#VALUE!</v>
      </c>
      <c r="P40" s="10" t="e">
        <f>M7*E9/E11*0.843</f>
        <v>#VALUE!</v>
      </c>
      <c r="Q40" s="10" t="e">
        <f>M7*E9/E11*0.741</f>
        <v>#VALUE!</v>
      </c>
      <c r="R40" s="10" t="e">
        <f>M7*E9/E11*0.632</f>
        <v>#VALUE!</v>
      </c>
      <c r="S40" s="24"/>
    </row>
    <row r="41" spans="1:19" x14ac:dyDescent="0.25">
      <c r="A41" s="1" t="s">
        <v>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2" t="e">
        <f>M7*E9/E11*1.742</f>
        <v>#VALUE!</v>
      </c>
      <c r="M41" s="2" t="e">
        <f>M7*E9/E11*1.476</f>
        <v>#VALUE!</v>
      </c>
      <c r="N41" s="2" t="e">
        <f>M7*E9/E11*1.236</f>
        <v>#VALUE!</v>
      </c>
      <c r="O41" s="2" t="e">
        <f>M7*E9/E11</f>
        <v>#VALUE!</v>
      </c>
      <c r="P41" s="2" t="e">
        <f>M7*E9/E11*0.809</f>
        <v>#VALUE!</v>
      </c>
      <c r="Q41" s="2" t="e">
        <f>M7*E9/E11*0.677</f>
        <v>#VALUE!</v>
      </c>
      <c r="R41" s="2" t="e">
        <f>M7*E9/E11*0.574</f>
        <v>#VALUE!</v>
      </c>
      <c r="S41" s="24"/>
    </row>
    <row r="42" spans="1:19" x14ac:dyDescent="0.25">
      <c r="A42" s="4" t="s">
        <v>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3" t="e">
        <f>M7*E9/E11*1.685</f>
        <v>#VALUE!</v>
      </c>
      <c r="M42" s="3" t="e">
        <f>M7*E9/E11*1.476</f>
        <v>#VALUE!</v>
      </c>
      <c r="N42" s="3" t="e">
        <f>M7*E9/E11*1.227</f>
        <v>#VALUE!</v>
      </c>
      <c r="O42" s="3" t="e">
        <f>M7*E9/E11</f>
        <v>#VALUE!</v>
      </c>
      <c r="P42" s="3" t="e">
        <f>M7*E9/E11*0.815</f>
        <v>#VALUE!</v>
      </c>
      <c r="Q42" s="3" t="e">
        <f>M7*E9/E11*0.667</f>
        <v>#VALUE!</v>
      </c>
      <c r="R42" s="3" t="e">
        <f>M7*E9/E11*0.593</f>
        <v>#VALUE!</v>
      </c>
      <c r="S42" s="24"/>
    </row>
    <row r="43" spans="1:19" x14ac:dyDescent="0.25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2" t="e">
        <f>M7*E9/E11*1.667</f>
        <v>#VALUE!</v>
      </c>
      <c r="M43" s="2" t="e">
        <f>M7*E9/E11*1.45</f>
        <v>#VALUE!</v>
      </c>
      <c r="N43" s="2" t="e">
        <f>M7*E9/E11*1.243</f>
        <v>#VALUE!</v>
      </c>
      <c r="O43" s="2" t="e">
        <f>M7*E9/E11</f>
        <v>#VALUE!</v>
      </c>
      <c r="P43" s="2" t="e">
        <f>M7*E9/E11*0.804</f>
        <v>#VALUE!</v>
      </c>
      <c r="Q43" s="2" t="e">
        <f>M7*E9/E11*0.69</f>
        <v>#VALUE!</v>
      </c>
      <c r="R43" s="2" t="e">
        <f>M7*E9/E11*0.6</f>
        <v>#VALUE!</v>
      </c>
      <c r="S43" s="24"/>
    </row>
    <row r="44" spans="1:19" x14ac:dyDescent="0.25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3" t="e">
        <f>M7*E9/E11*1.5</f>
        <v>#VALUE!</v>
      </c>
      <c r="O44" s="3" t="e">
        <f>M7*E9/E11*1.267</f>
        <v>#VALUE!</v>
      </c>
      <c r="P44" s="3" t="e">
        <f>M7*E9/E11</f>
        <v>#VALUE!</v>
      </c>
      <c r="Q44" s="3" t="e">
        <f>M7*E9/E11*0.789</f>
        <v>#VALUE!</v>
      </c>
      <c r="R44" s="3" t="e">
        <f>M7*E9/E11*0.667</f>
        <v>#VALUE!</v>
      </c>
      <c r="S44" s="24"/>
    </row>
    <row r="45" spans="1:19" x14ac:dyDescent="0.25">
      <c r="A45" s="1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1" t="e">
        <f>M7*E9/E11*1.6</f>
        <v>#VALUE!</v>
      </c>
      <c r="O45" s="11" t="e">
        <f>M7*E9/E11*1.33</f>
        <v>#VALUE!</v>
      </c>
      <c r="P45" s="11" t="e">
        <f>M7*E9/E11</f>
        <v>#VALUE!</v>
      </c>
      <c r="Q45" s="11" t="e">
        <f>M7*E9/E11*0.75</f>
        <v>#VALUE!</v>
      </c>
      <c r="R45" s="11" t="e">
        <f>M7*E9/E11*0.63</f>
        <v>#VALUE!</v>
      </c>
      <c r="S45" s="24"/>
    </row>
    <row r="46" spans="1:19" x14ac:dyDescent="0.25">
      <c r="A46" s="4" t="s">
        <v>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3" t="e">
        <f>M7*E9/E11*1.5</f>
        <v>#VALUE!</v>
      </c>
      <c r="O46" s="3" t="e">
        <f>M7*E9/E11*1.286</f>
        <v>#VALUE!</v>
      </c>
      <c r="P46" s="3" t="e">
        <f>M7*E9/E11</f>
        <v>#VALUE!</v>
      </c>
      <c r="Q46" s="3" t="e">
        <f>M7*E9/E11*0.778</f>
        <v>#VALUE!</v>
      </c>
      <c r="R46" s="3" t="e">
        <f>M7*E9/E11*0.667</f>
        <v>#VALUE!</v>
      </c>
      <c r="S46" s="24"/>
    </row>
    <row r="47" spans="1:19" x14ac:dyDescent="0.25">
      <c r="A47" s="1" t="s">
        <v>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 t="e">
        <f>M7*E9/E11*1.579</f>
        <v>#VALUE!</v>
      </c>
      <c r="O47" s="2" t="e">
        <f>M7*E9/E11*1.281</f>
        <v>#VALUE!</v>
      </c>
      <c r="P47" s="2" t="e">
        <f>M7*E9/E11</f>
        <v>#VALUE!</v>
      </c>
      <c r="Q47" s="2" t="e">
        <f>M7*E9/E11*0.781</f>
        <v>#VALUE!</v>
      </c>
      <c r="R47" s="2" t="e">
        <f>M7*E9/E11*0.633</f>
        <v>#VALUE!</v>
      </c>
      <c r="S47" s="24"/>
    </row>
    <row r="48" spans="1:19" x14ac:dyDescent="0.25">
      <c r="A48" s="4" t="s">
        <v>41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3" t="e">
        <f>M7*E9/E11*1.545</f>
        <v>#VALUE!</v>
      </c>
      <c r="O48" s="3" t="e">
        <f>M7*E9/E11*1.335</f>
        <v>#VALUE!</v>
      </c>
      <c r="P48" s="3" t="e">
        <f>M7*E9/E11*1.159</f>
        <v>#VALUE!</v>
      </c>
      <c r="Q48" s="3" t="e">
        <f>M7*E9/E11*1.001</f>
        <v>#VALUE!</v>
      </c>
      <c r="R48" s="3" t="e">
        <f>M7*E9/E11*0.75</f>
        <v>#VALUE!</v>
      </c>
      <c r="S48" s="24"/>
    </row>
    <row r="49" spans="1:22" x14ac:dyDescent="0.25">
      <c r="A49" s="1" t="s">
        <v>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5"/>
      <c r="M49" s="1"/>
      <c r="N49" s="1"/>
      <c r="O49" s="6" t="e">
        <f>M7*E9/E11*1.843</f>
        <v>#VALUE!</v>
      </c>
      <c r="P49" s="6" t="e">
        <f>M7*E9/E11*1.5</f>
        <v>#VALUE!</v>
      </c>
      <c r="Q49" s="6" t="e">
        <f>M7*E9/E11*1.244</f>
        <v>#VALUE!</v>
      </c>
      <c r="R49" s="6" t="e">
        <f>M7*E9/E11</f>
        <v>#VALUE!</v>
      </c>
      <c r="S49" s="24"/>
    </row>
    <row r="50" spans="1:22" x14ac:dyDescent="0.25">
      <c r="A50" s="4" t="s">
        <v>11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" t="e">
        <f>M7*E9/E11*1.267</f>
        <v>#VALUE!</v>
      </c>
      <c r="P50" s="3" t="e">
        <f>M7*E9/E11</f>
        <v>#VALUE!</v>
      </c>
      <c r="Q50" s="3" t="e">
        <f>M7*E9/E11*0.789</f>
        <v>#VALUE!</v>
      </c>
      <c r="R50" s="3" t="e">
        <f>M7*E9/E11*0.667</f>
        <v>#VALUE!</v>
      </c>
      <c r="S50" s="24"/>
    </row>
    <row r="51" spans="1:22" x14ac:dyDescent="0.25">
      <c r="A51" s="1" t="s">
        <v>59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 t="e">
        <f>M7*E9/E11*1.091</f>
        <v>#VALUE!</v>
      </c>
      <c r="P51" s="2" t="e">
        <f>M7*E9/E11</f>
        <v>#VALUE!</v>
      </c>
      <c r="Q51" s="2" t="e">
        <f>M7*E9/E11*0.9</f>
        <v>#VALUE!</v>
      </c>
      <c r="R51" s="2" t="e">
        <f>M7*E9/E11*0.75</f>
        <v>#VALUE!</v>
      </c>
      <c r="S51" s="24"/>
    </row>
    <row r="52" spans="1:22" x14ac:dyDescent="0.25">
      <c r="A52" s="4" t="s">
        <v>16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 t="e">
        <f>M7*E9/E11*1.125</f>
        <v>#VALUE!</v>
      </c>
      <c r="P52" s="3" t="e">
        <f>M7*E9/E11</f>
        <v>#VALUE!</v>
      </c>
      <c r="Q52" s="3" t="e">
        <f>M7*E9/E11*0.857</f>
        <v>#VALUE!</v>
      </c>
      <c r="R52" s="3" t="e">
        <f>M7*E9/E11*0.667</f>
        <v>#VALUE!</v>
      </c>
      <c r="S52" s="24"/>
      <c r="V52" s="4"/>
    </row>
    <row r="53" spans="1:22" x14ac:dyDescent="0.25">
      <c r="A53" s="1" t="s">
        <v>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 t="e">
        <f>M7*E9/E11*1.33</f>
        <v>#VALUE!</v>
      </c>
      <c r="P53" s="2" t="e">
        <f>M7*E9/E11</f>
        <v>#VALUE!</v>
      </c>
      <c r="Q53" s="2" t="e">
        <f>M7*E9/E11*0.75</f>
        <v>#VALUE!</v>
      </c>
      <c r="R53" s="2" t="e">
        <f>M7*E9/E11*0.6</f>
        <v>#VALUE!</v>
      </c>
      <c r="S53" s="24"/>
    </row>
    <row r="54" spans="1:22" x14ac:dyDescent="0.25">
      <c r="A54" s="4" t="s">
        <v>13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7"/>
      <c r="N54" s="4"/>
      <c r="O54" s="4"/>
      <c r="P54" s="3" t="e">
        <f>M7*E9/E11*1.25</f>
        <v>#VALUE!</v>
      </c>
      <c r="Q54" s="3" t="e">
        <f>M7*E9/E11</f>
        <v>#VALUE!</v>
      </c>
      <c r="R54" s="3" t="e">
        <f>M7*E9/E11*0.8</f>
        <v>#VALUE!</v>
      </c>
      <c r="S54" s="24"/>
    </row>
    <row r="55" spans="1:22" x14ac:dyDescent="0.25">
      <c r="A55" s="1" t="s">
        <v>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 t="e">
        <f>M7*E9/E11*1</f>
        <v>#VALUE!</v>
      </c>
      <c r="Q55" s="2" t="e">
        <f>M7*E9/E11*0.8</f>
        <v>#VALUE!</v>
      </c>
      <c r="R55" s="2" t="e">
        <f>M7*E9/E11*0.667</f>
        <v>#VALUE!</v>
      </c>
      <c r="S55" s="24"/>
    </row>
    <row r="56" spans="1:22" x14ac:dyDescent="0.25">
      <c r="A56" s="4" t="s">
        <v>14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" t="e">
        <f>M7*E9/E11*1.333</f>
        <v>#VALUE!</v>
      </c>
      <c r="Q56" s="3" t="e">
        <f>M7*E9/E11</f>
        <v>#VALUE!</v>
      </c>
      <c r="R56" s="3" t="e">
        <f>M7*E9/E11*0.75</f>
        <v>#VALUE!</v>
      </c>
      <c r="S56" s="24"/>
    </row>
    <row r="57" spans="1:22" x14ac:dyDescent="0.25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 t="e">
        <f>M7*E9/E11*1.362</f>
        <v>#VALUE!</v>
      </c>
      <c r="Q57" s="2" t="e">
        <f>M7*E9/E11</f>
        <v>#VALUE!</v>
      </c>
      <c r="R57" s="2" t="e">
        <f>M7*E9/E11*0.734</f>
        <v>#VALUE!</v>
      </c>
      <c r="S57" s="24"/>
    </row>
    <row r="58" spans="1:22" x14ac:dyDescent="0.25">
      <c r="A58" s="4" t="s">
        <v>67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" t="e">
        <f>M7*E9/E11*1.333</f>
        <v>#VALUE!</v>
      </c>
      <c r="Q58" s="3" t="e">
        <f>M7*E9/E11</f>
        <v>#VALUE!</v>
      </c>
      <c r="R58" s="3" t="e">
        <f>M7*E9/E11*0.75</f>
        <v>#VALUE!</v>
      </c>
      <c r="S58" s="24"/>
    </row>
    <row r="59" spans="1:22" x14ac:dyDescent="0.25">
      <c r="A59" s="1" t="s">
        <v>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 t="e">
        <f>M7*E9/E11*1.36</f>
        <v>#VALUE!</v>
      </c>
      <c r="Q59" s="2" t="e">
        <f>M7*E9/E11</f>
        <v>#VALUE!</v>
      </c>
      <c r="R59" s="2" t="e">
        <f>M7*E9/E11*0.733</f>
        <v>#VALUE!</v>
      </c>
      <c r="S59" s="24"/>
    </row>
    <row r="60" spans="1:22" x14ac:dyDescent="0.25">
      <c r="A60" s="4" t="s">
        <v>44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" t="e">
        <f>M7*E9/E11*1.362</f>
        <v>#VALUE!</v>
      </c>
      <c r="Q60" s="3" t="e">
        <f>M7*E9/E11</f>
        <v>#VALUE!</v>
      </c>
      <c r="R60" s="3" t="e">
        <f>M7*E9/E11*0.734</f>
        <v>#VALUE!</v>
      </c>
      <c r="S60" s="24"/>
    </row>
    <row r="61" spans="1:22" x14ac:dyDescent="0.25">
      <c r="A61" s="1" t="s">
        <v>19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 t="e">
        <f>M7*E9/E11*1.25</f>
        <v>#VALUE!</v>
      </c>
      <c r="Q61" s="2" t="e">
        <f>M7*E9/E11</f>
        <v>#VALUE!</v>
      </c>
      <c r="R61" s="2" t="e">
        <f>M7*E9/E11*0.8</f>
        <v>#VALUE!</v>
      </c>
      <c r="S61" s="24"/>
    </row>
    <row r="62" spans="1:22" x14ac:dyDescent="0.25">
      <c r="A62" s="4" t="s">
        <v>79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" t="e">
        <f>M7*E9/E11*1.313</f>
        <v>#VALUE!</v>
      </c>
      <c r="Q62" s="3" t="e">
        <f>M7*E9/E11*1</f>
        <v>#VALUE!</v>
      </c>
      <c r="R62" s="3" t="e">
        <f>M7*E9/E11*0.762</f>
        <v>#VALUE!</v>
      </c>
      <c r="S62" s="24"/>
    </row>
    <row r="63" spans="1:22" x14ac:dyDescent="0.25">
      <c r="A63" s="1" t="s">
        <v>20</v>
      </c>
      <c r="B63" s="1"/>
      <c r="C63" s="1"/>
      <c r="D63" s="1" t="s">
        <v>80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 t="e">
        <f>M7*E9/E11*1.333</f>
        <v>#VALUE!</v>
      </c>
      <c r="Q63" s="2" t="e">
        <f>M7*E9/E11</f>
        <v>#VALUE!</v>
      </c>
      <c r="R63" s="2" t="e">
        <f>M7*E9/E11*0.75</f>
        <v>#VALUE!</v>
      </c>
      <c r="S63" s="24"/>
    </row>
    <row r="64" spans="1:22" x14ac:dyDescent="0.25">
      <c r="A64" s="4" t="s">
        <v>90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" t="e">
        <f>M7*E9/E11*1.333</f>
        <v>#VALUE!</v>
      </c>
      <c r="Q64" s="3" t="e">
        <f>M7*E9/E11</f>
        <v>#VALUE!</v>
      </c>
      <c r="R64" s="3" t="e">
        <f>M7*E9/E11*0.75</f>
        <v>#VALUE!</v>
      </c>
      <c r="S64" s="24"/>
    </row>
    <row r="65" spans="1:19" x14ac:dyDescent="0.25">
      <c r="A65" s="1" t="s">
        <v>78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 t="e">
        <f>M7*E9/E11*1.333</f>
        <v>#VALUE!</v>
      </c>
      <c r="Q65" s="2" t="e">
        <f>M7*E9/E11</f>
        <v>#VALUE!</v>
      </c>
      <c r="R65" s="2" t="e">
        <f>M7*E9/E11*0.75</f>
        <v>#VALUE!</v>
      </c>
      <c r="S65" s="24"/>
    </row>
    <row r="66" spans="1:19" x14ac:dyDescent="0.25">
      <c r="A66" s="4" t="s">
        <v>81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3" t="e">
        <f>M7*E9/E11*1.333</f>
        <v>#VALUE!</v>
      </c>
      <c r="Q66" s="3" t="e">
        <f>M7*E9/E11</f>
        <v>#VALUE!</v>
      </c>
      <c r="R66" s="3" t="e">
        <f>M7*E9/E11*0.75</f>
        <v>#VALUE!</v>
      </c>
      <c r="S66" s="24"/>
    </row>
    <row r="67" spans="1:19" x14ac:dyDescent="0.25">
      <c r="A67" s="1" t="s">
        <v>21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 t="e">
        <f>M7*E9/E11*1.156</f>
        <v>#VALUE!</v>
      </c>
      <c r="Q67" s="2" t="e">
        <f>M7*E9/E11</f>
        <v>#VALUE!</v>
      </c>
      <c r="R67" s="2" t="e">
        <f>M7*E9/E11*0.865</f>
        <v>#VALUE!</v>
      </c>
      <c r="S67" s="24"/>
    </row>
    <row r="68" spans="1:19" x14ac:dyDescent="0.25">
      <c r="A68" s="4" t="s">
        <v>22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3" t="e">
        <f>M7*E9/E11*1.125</f>
        <v>#VALUE!</v>
      </c>
      <c r="Q68" s="3" t="e">
        <f>M7*E9/E11</f>
        <v>#VALUE!</v>
      </c>
      <c r="R68" s="3" t="e">
        <f>M7*E9/E11*0.889</f>
        <v>#VALUE!</v>
      </c>
      <c r="S68" s="24"/>
    </row>
    <row r="69" spans="1:19" x14ac:dyDescent="0.25">
      <c r="A69" s="1" t="s">
        <v>82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 t="e">
        <f>M7*E9/E11</f>
        <v>#VALUE!</v>
      </c>
      <c r="Q69" s="2" t="e">
        <f>M7*E9/E11*0.75</f>
        <v>#VALUE!</v>
      </c>
      <c r="R69" s="2" t="e">
        <f>M7*E9/E11*0.625</f>
        <v>#VALUE!</v>
      </c>
      <c r="S69" s="24"/>
    </row>
    <row r="70" spans="1:19" x14ac:dyDescent="0.25">
      <c r="A70" s="4" t="s">
        <v>83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" t="e">
        <f>M7*E9/E11</f>
        <v>#VALUE!</v>
      </c>
      <c r="Q70" s="3" t="e">
        <f>M7*E9/E11*0.9</f>
        <v>#VALUE!</v>
      </c>
      <c r="R70" s="3" t="e">
        <f>M7*E9/E11*0.75</f>
        <v>#VALUE!</v>
      </c>
      <c r="S70" s="24"/>
    </row>
    <row r="71" spans="1:19" x14ac:dyDescent="0.25">
      <c r="A71" s="1" t="s">
        <v>84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 t="e">
        <f>M7*E9/E11*1.17</f>
        <v>#VALUE!</v>
      </c>
      <c r="Q71" s="2" t="e">
        <f>M7*E9/E11</f>
        <v>#VALUE!</v>
      </c>
      <c r="R71" s="2" t="e">
        <f>M7*E9/E11*0.86</f>
        <v>#VALUE!</v>
      </c>
      <c r="S71" s="24"/>
    </row>
    <row r="72" spans="1:19" x14ac:dyDescent="0.25">
      <c r="A72" s="4" t="s">
        <v>68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" t="e">
        <f>M7*E9/E11*1.39</f>
        <v>#VALUE!</v>
      </c>
      <c r="Q72" s="3" t="e">
        <f>M7*E9/E11</f>
        <v>#VALUE!</v>
      </c>
      <c r="R72" s="3" t="e">
        <f>M7*E9/E11*0.72</f>
        <v>#VALUE!</v>
      </c>
      <c r="S72" s="24"/>
    </row>
    <row r="73" spans="1:19" x14ac:dyDescent="0.25">
      <c r="A73" s="1" t="s">
        <v>70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 t="e">
        <f>M7*E9/E11*1.07</f>
        <v>#VALUE!</v>
      </c>
      <c r="Q73" s="2" t="e">
        <f>M7*E9/E11</f>
        <v>#VALUE!</v>
      </c>
      <c r="R73" s="2" t="e">
        <f>M7*E9/E11*0.925</f>
        <v>#VALUE!</v>
      </c>
      <c r="S73" s="24"/>
    </row>
    <row r="74" spans="1:19" x14ac:dyDescent="0.25">
      <c r="A74" s="4" t="s">
        <v>62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0" t="e">
        <f>M7*E9/E11</f>
        <v>#VALUE!</v>
      </c>
      <c r="R74" s="10" t="e">
        <f>M7*E9/E11*0.68</f>
        <v>#VALUE!</v>
      </c>
      <c r="S74" s="24"/>
    </row>
    <row r="75" spans="1:19" x14ac:dyDescent="0.25">
      <c r="A75" s="1" t="s">
        <v>63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 t="e">
        <f>M7*E9/E11*1.47</f>
        <v>#VALUE!</v>
      </c>
      <c r="R75" s="2" t="e">
        <f>M7*E9/E11</f>
        <v>#VALUE!</v>
      </c>
      <c r="S75" s="24"/>
    </row>
    <row r="76" spans="1:19" x14ac:dyDescent="0.25">
      <c r="A76" s="4" t="s">
        <v>77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" t="e">
        <f>M7*1.37</f>
        <v>#VALUE!</v>
      </c>
      <c r="R76" s="3" t="e">
        <f>M7</f>
        <v>#VALUE!</v>
      </c>
      <c r="S76" s="24"/>
    </row>
    <row r="77" spans="1:19" x14ac:dyDescent="0.25">
      <c r="A77" s="1" t="s">
        <v>97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 t="e">
        <f>M7*E9/E11</f>
        <v>#VALUE!</v>
      </c>
      <c r="R77" s="2" t="e">
        <f>M7*E9/E11*0.68</f>
        <v>#VALUE!</v>
      </c>
      <c r="S77" s="24"/>
    </row>
    <row r="78" spans="1:19" x14ac:dyDescent="0.25">
      <c r="A78" s="4" t="s">
        <v>46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 t="e">
        <f>M7*E9/E11</f>
        <v>#VALUE!</v>
      </c>
      <c r="R78" s="3" t="e">
        <f>M7*E9/E11*0.62</f>
        <v>#VALUE!</v>
      </c>
      <c r="S78" s="24"/>
    </row>
    <row r="79" spans="1:19" x14ac:dyDescent="0.25">
      <c r="A79" s="1" t="s">
        <v>47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 t="e">
        <f>M7*E9/E11*1.362</f>
        <v>#VALUE!</v>
      </c>
      <c r="R79" s="2" t="e">
        <f>M7*E9/E11</f>
        <v>#VALUE!</v>
      </c>
      <c r="S79" s="24"/>
    </row>
    <row r="80" spans="1:19" x14ac:dyDescent="0.25">
      <c r="A80" s="4" t="s">
        <v>98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3" t="e">
        <f>M7*E9/E11</f>
        <v>#VALUE!</v>
      </c>
      <c r="R80" s="3" t="e">
        <f>M7*E9/E11*0.738</f>
        <v>#VALUE!</v>
      </c>
      <c r="S80" s="24"/>
    </row>
    <row r="81" spans="1:19" x14ac:dyDescent="0.25">
      <c r="A81" s="1" t="s">
        <v>76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 t="e">
        <f>M7*1.5</f>
        <v>#VALUE!</v>
      </c>
      <c r="R81" s="2" t="e">
        <f>M7</f>
        <v>#VALUE!</v>
      </c>
      <c r="S81" s="24"/>
    </row>
    <row r="82" spans="1:19" x14ac:dyDescent="0.25">
      <c r="A82" s="4" t="s">
        <v>85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3" t="e">
        <f>M7*E9/E11</f>
        <v>#VALUE!</v>
      </c>
      <c r="R82" s="51" t="e">
        <f>M7*E9/E11*0.74</f>
        <v>#VALUE!</v>
      </c>
      <c r="S82" s="24"/>
    </row>
    <row r="83" spans="1:19" x14ac:dyDescent="0.25">
      <c r="A83" s="1" t="s">
        <v>50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 t="e">
        <f>M7*E9/E11</f>
        <v>#VALUE!</v>
      </c>
      <c r="R83" s="2" t="e">
        <f>M7*E9/E11*0.87</f>
        <v>#VALUE!</v>
      </c>
      <c r="S83" s="24"/>
    </row>
    <row r="84" spans="1:19" x14ac:dyDescent="0.25">
      <c r="A84" s="4" t="s">
        <v>49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" t="e">
        <f>M7*E9/E11</f>
        <v>#VALUE!</v>
      </c>
      <c r="R84" s="3" t="e">
        <f>M7*E9/E11*0.71</f>
        <v>#VALUE!</v>
      </c>
      <c r="S84" s="24"/>
    </row>
    <row r="85" spans="1:19" x14ac:dyDescent="0.25">
      <c r="A85" s="1" t="s">
        <v>51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 t="e">
        <f>M7*E9/E11*1.38</f>
        <v>#VALUE!</v>
      </c>
      <c r="R85" s="2" t="e">
        <f>M7*E9/E11</f>
        <v>#VALUE!</v>
      </c>
      <c r="S85" s="24"/>
    </row>
    <row r="86" spans="1:19" x14ac:dyDescent="0.25">
      <c r="A86" s="4" t="s">
        <v>48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" t="e">
        <f>M7*E9/E11</f>
        <v>#VALUE!</v>
      </c>
      <c r="R86" s="3" t="e">
        <f>M7*E9/E11*0.75</f>
        <v>#VALUE!</v>
      </c>
      <c r="S86" s="24"/>
    </row>
    <row r="87" spans="1:19" x14ac:dyDescent="0.25">
      <c r="A87" s="4" t="s">
        <v>26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24"/>
    </row>
    <row r="88" spans="1:19" x14ac:dyDescent="0.25">
      <c r="A88" s="4"/>
      <c r="B88" s="4"/>
      <c r="C88" s="4"/>
      <c r="D88" s="4" t="s">
        <v>39</v>
      </c>
      <c r="E88" s="4" t="s">
        <v>40</v>
      </c>
      <c r="F88" s="4"/>
      <c r="G88" s="4"/>
      <c r="H88" s="4"/>
      <c r="I88" s="4"/>
      <c r="J88" s="4"/>
      <c r="K88" s="4" t="s">
        <v>38</v>
      </c>
      <c r="L88" s="4"/>
      <c r="M88" s="4"/>
      <c r="N88" s="4"/>
      <c r="O88" s="4"/>
      <c r="P88" s="4"/>
      <c r="Q88" s="4"/>
      <c r="R88" s="4"/>
      <c r="S88" s="24"/>
    </row>
    <row r="89" spans="1:19" x14ac:dyDescent="0.25">
      <c r="A89" s="20" t="s">
        <v>24</v>
      </c>
      <c r="B89" s="4"/>
      <c r="C89" s="4"/>
      <c r="D89" s="2" t="e">
        <f>M7*E9/E11*1.75</f>
        <v>#VALUE!</v>
      </c>
      <c r="E89" s="2" t="e">
        <f>M7*E9/E11*0.5</f>
        <v>#VALUE!</v>
      </c>
      <c r="F89" s="4"/>
      <c r="G89" s="4" t="s">
        <v>25</v>
      </c>
      <c r="H89" s="4"/>
      <c r="I89" s="4"/>
      <c r="J89" s="4"/>
      <c r="K89" s="2" t="e">
        <f>M7*E9/E11*1.8</f>
        <v>#VALUE!</v>
      </c>
      <c r="L89" s="2" t="e">
        <f>M7*E9/E11*0.5</f>
        <v>#VALUE!</v>
      </c>
      <c r="M89" s="4"/>
      <c r="N89" s="4"/>
      <c r="O89" s="4"/>
      <c r="P89" s="4"/>
      <c r="Q89" s="4"/>
      <c r="R89" s="4"/>
      <c r="S89" s="24"/>
    </row>
    <row r="90" spans="1:19" ht="19.5" customHeight="1" thickBot="1" x14ac:dyDescent="0.3">
      <c r="A90" s="37" t="s">
        <v>96</v>
      </c>
      <c r="B90" s="38"/>
      <c r="C90" s="38"/>
      <c r="D90" s="38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1:19" ht="15.75" thickTop="1" x14ac:dyDescent="0.25">
      <c r="A91" s="40" t="s">
        <v>94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1:19" x14ac:dyDescent="0.25">
      <c r="A92" s="24" t="s">
        <v>95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3" spans="1:19" ht="15.75" thickBot="1" x14ac:dyDescent="0.3">
      <c r="A93" s="24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4" spans="1:19" ht="15.75" thickBot="1" x14ac:dyDescent="0.3">
      <c r="A94" s="24"/>
      <c r="B94" s="43"/>
      <c r="C94" s="27" t="s">
        <v>17</v>
      </c>
      <c r="D94" s="45" t="e">
        <f>C94*E11/F11</f>
        <v>#VALUE!</v>
      </c>
      <c r="E94" s="46" t="e">
        <f>C94*E11/G11</f>
        <v>#VALUE!</v>
      </c>
      <c r="F94" s="46" t="e">
        <f>C94*E11/H11</f>
        <v>#VALUE!</v>
      </c>
      <c r="G94" s="46" t="e">
        <f>C94*E11/I11</f>
        <v>#VALUE!</v>
      </c>
      <c r="H94" s="46" t="e">
        <f>C94*E11/J11</f>
        <v>#VALUE!</v>
      </c>
      <c r="I94" s="46" t="e">
        <f>C94*E11/K11</f>
        <v>#VALUE!</v>
      </c>
      <c r="J94" s="46" t="e">
        <f>C94*E11/L11</f>
        <v>#VALUE!</v>
      </c>
      <c r="K94" s="46" t="e">
        <f>C94*E11/M11</f>
        <v>#VALUE!</v>
      </c>
      <c r="L94" s="46" t="e">
        <f>C94*E11/N11</f>
        <v>#VALUE!</v>
      </c>
      <c r="M94" s="46" t="e">
        <f>C94*E11/O11</f>
        <v>#VALUE!</v>
      </c>
      <c r="N94" s="46" t="e">
        <f>C94*E11/P11</f>
        <v>#VALUE!</v>
      </c>
      <c r="O94" s="46" t="e">
        <f>C94*E11/Q11</f>
        <v>#VALUE!</v>
      </c>
      <c r="R94" s="44"/>
    </row>
    <row r="95" spans="1:19" ht="15.75" thickBot="1" x14ac:dyDescent="0.3">
      <c r="A95" s="24"/>
      <c r="B95" s="43"/>
      <c r="C95" s="27" t="s">
        <v>17</v>
      </c>
      <c r="D95" s="47" t="e">
        <f>C95*E11/F11</f>
        <v>#VALUE!</v>
      </c>
      <c r="E95" s="47" t="e">
        <f>C95*E11/G11</f>
        <v>#VALUE!</v>
      </c>
      <c r="F95" s="47" t="e">
        <f>C95*E11/H11</f>
        <v>#VALUE!</v>
      </c>
      <c r="G95" s="47" t="e">
        <f>C95*E11/I11</f>
        <v>#VALUE!</v>
      </c>
      <c r="H95" s="47" t="e">
        <f>C95*E11/J11</f>
        <v>#VALUE!</v>
      </c>
      <c r="I95" s="47" t="e">
        <f>C95*E11/K11</f>
        <v>#VALUE!</v>
      </c>
      <c r="J95" s="47" t="e">
        <f>C95*E11/L11</f>
        <v>#VALUE!</v>
      </c>
      <c r="K95" s="47" t="e">
        <f>C95*E11/M11</f>
        <v>#VALUE!</v>
      </c>
      <c r="L95" s="47" t="e">
        <f>C95*E11/N11</f>
        <v>#VALUE!</v>
      </c>
      <c r="M95" s="47" t="e">
        <f>C95*E11/O11</f>
        <v>#VALUE!</v>
      </c>
      <c r="N95" s="47" t="e">
        <f>C95*E11/P11</f>
        <v>#VALUE!</v>
      </c>
      <c r="O95" s="47" t="e">
        <f>C95*E11/Q11</f>
        <v>#VALUE!</v>
      </c>
      <c r="R95" s="44"/>
    </row>
    <row r="96" spans="1:19" ht="15.75" thickBot="1" x14ac:dyDescent="0.3">
      <c r="A96" s="24"/>
      <c r="B96" s="43"/>
      <c r="C96" s="27" t="s">
        <v>17</v>
      </c>
      <c r="D96" s="46" t="e">
        <f>C96*E11/F11</f>
        <v>#VALUE!</v>
      </c>
      <c r="E96" s="46" t="e">
        <f>C96*E11/G11</f>
        <v>#VALUE!</v>
      </c>
      <c r="F96" s="46" t="e">
        <f>C96*E11/H11</f>
        <v>#VALUE!</v>
      </c>
      <c r="G96" s="46" t="e">
        <f>C96*E11/I11</f>
        <v>#VALUE!</v>
      </c>
      <c r="H96" s="46" t="e">
        <f>C96*E11/J11</f>
        <v>#VALUE!</v>
      </c>
      <c r="I96" s="46" t="e">
        <f>C96*E11/K11</f>
        <v>#VALUE!</v>
      </c>
      <c r="J96" s="46" t="e">
        <f>C96*E11/L11</f>
        <v>#VALUE!</v>
      </c>
      <c r="K96" s="46" t="e">
        <f>C96*E11/M11</f>
        <v>#VALUE!</v>
      </c>
      <c r="L96" s="46" t="e">
        <f>C96*E11/N11</f>
        <v>#VALUE!</v>
      </c>
      <c r="M96" s="46" t="e">
        <f>C96*E11/O11</f>
        <v>#VALUE!</v>
      </c>
      <c r="N96" s="46" t="e">
        <f>C96*E11/P11</f>
        <v>#VALUE!</v>
      </c>
      <c r="O96" s="46" t="e">
        <f>C96*E11/Q11</f>
        <v>#VALUE!</v>
      </c>
      <c r="R96" s="44"/>
    </row>
    <row r="97" spans="1:18" x14ac:dyDescent="0.25">
      <c r="A97" s="48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50"/>
    </row>
  </sheetData>
  <sheetProtection password="CCFE" sheet="1" objects="1" scenarios="1" selectLockedCells="1"/>
  <hyperlinks>
    <hyperlink ref="L1" r:id="rId1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Wiel Van den Broek</cp:lastModifiedBy>
  <cp:lastPrinted>2015-03-29T08:15:39Z</cp:lastPrinted>
  <dcterms:created xsi:type="dcterms:W3CDTF">2015-03-29T08:11:04Z</dcterms:created>
  <dcterms:modified xsi:type="dcterms:W3CDTF">2021-05-02T17:20:11Z</dcterms:modified>
</cp:coreProperties>
</file>